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gnatievSV\Documents\,Проекты\Юбилейная\"/>
    </mc:Choice>
  </mc:AlternateContent>
  <bookViews>
    <workbookView xWindow="-120" yWindow="-120" windowWidth="29040" windowHeight="15840" activeTab="1"/>
  </bookViews>
  <sheets>
    <sheet name="ВОР" sheetId="1" r:id="rId1"/>
    <sheet name="Спецификация" sheetId="2" r:id="rId2"/>
  </sheets>
  <definedNames>
    <definedName name="_xlnm._FilterDatabase" localSheetId="0" hidden="1">ВОР!$B$1:$B$327</definedName>
    <definedName name="_xlnm.Print_Titles" localSheetId="0">ВОР!$1:$3</definedName>
    <definedName name="_xlnm.Print_Titles" localSheetId="1">Спецификация!$1:$2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4" i="1" l="1"/>
  <c r="D79" i="1"/>
  <c r="D78" i="1"/>
  <c r="H47" i="2"/>
  <c r="H45" i="2"/>
  <c r="D319" i="1"/>
  <c r="D320" i="1"/>
  <c r="D318" i="1"/>
  <c r="D314" i="1"/>
  <c r="D313" i="1"/>
  <c r="D312" i="1"/>
  <c r="D311" i="1" s="1"/>
  <c r="D307" i="1"/>
  <c r="D309" i="1"/>
  <c r="D308" i="1"/>
  <c r="D302" i="1"/>
  <c r="D301" i="1"/>
  <c r="D300" i="1" s="1"/>
  <c r="D304" i="1"/>
  <c r="D303" i="1"/>
  <c r="D296" i="1"/>
  <c r="D295" i="1" s="1"/>
  <c r="D290" i="1"/>
  <c r="D298" i="1"/>
  <c r="D297" i="1"/>
  <c r="D293" i="1"/>
  <c r="D292" i="1"/>
  <c r="D291" i="1"/>
  <c r="D67" i="1"/>
  <c r="D69" i="1" s="1"/>
  <c r="D71" i="1"/>
  <c r="D70" i="1"/>
  <c r="D58" i="1"/>
  <c r="D64" i="1" s="1"/>
  <c r="D65" i="1" s="1"/>
  <c r="D51" i="1"/>
  <c r="D53" i="1" s="1"/>
  <c r="D322" i="1"/>
  <c r="D325" i="1"/>
  <c r="D143" i="1"/>
  <c r="D285" i="1"/>
  <c r="D278" i="1"/>
  <c r="D275" i="1"/>
  <c r="D272" i="1"/>
  <c r="D269" i="1"/>
  <c r="D263" i="1"/>
  <c r="D266" i="1"/>
  <c r="D286" i="1"/>
  <c r="D284" i="1"/>
  <c r="D260" i="1"/>
  <c r="D257" i="1"/>
  <c r="D252" i="1"/>
  <c r="D254" i="1" s="1"/>
  <c r="D253" i="1" s="1"/>
  <c r="D166" i="1"/>
  <c r="D142" i="1"/>
  <c r="D119" i="1"/>
  <c r="H41" i="2" s="1"/>
  <c r="D118" i="1"/>
  <c r="H42" i="2" s="1"/>
  <c r="D134" i="1"/>
  <c r="D131" i="1"/>
  <c r="D144" i="1"/>
  <c r="D139" i="1"/>
  <c r="H44" i="2" s="1"/>
  <c r="D125" i="1"/>
  <c r="D127" i="1" s="1"/>
  <c r="D112" i="1"/>
  <c r="D109" i="1"/>
  <c r="D105" i="1"/>
  <c r="D102" i="1"/>
  <c r="D96" i="1"/>
  <c r="D98" i="1" s="1"/>
  <c r="D89" i="1"/>
  <c r="D91" i="1" s="1"/>
  <c r="D90" i="1" s="1"/>
  <c r="D82" i="1"/>
  <c r="D85" i="1"/>
  <c r="D46" i="1"/>
  <c r="D45" i="1"/>
  <c r="D42" i="1"/>
  <c r="D43" i="1" s="1"/>
  <c r="D26" i="1"/>
  <c r="D28" i="1" s="1"/>
  <c r="D31" i="1" s="1"/>
  <c r="D39" i="1"/>
  <c r="D40" i="1" s="1"/>
  <c r="D37" i="1"/>
  <c r="D38" i="1" s="1"/>
  <c r="D36" i="1"/>
  <c r="D30" i="1"/>
  <c r="D29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324" i="1"/>
  <c r="D230" i="1"/>
  <c r="D199" i="1"/>
  <c r="D194" i="1"/>
  <c r="D198" i="1"/>
  <c r="D197" i="1"/>
  <c r="D196" i="1"/>
  <c r="D195" i="1"/>
  <c r="D171" i="1"/>
  <c r="D170" i="1"/>
  <c r="D223" i="1" s="1"/>
  <c r="D306" i="1" l="1"/>
  <c r="D289" i="1"/>
  <c r="D315" i="1" s="1"/>
  <c r="D73" i="1"/>
  <c r="D68" i="1"/>
  <c r="D75" i="1" s="1"/>
  <c r="D72" i="1"/>
  <c r="D265" i="1"/>
  <c r="D264" i="1" s="1"/>
  <c r="D259" i="1"/>
  <c r="D258" i="1" s="1"/>
  <c r="D277" i="1"/>
  <c r="D276" i="1" s="1"/>
  <c r="D271" i="1"/>
  <c r="D270" i="1" s="1"/>
  <c r="D133" i="1"/>
  <c r="D132" i="1" s="1"/>
  <c r="D104" i="1"/>
  <c r="D103" i="1" s="1"/>
  <c r="D84" i="1"/>
  <c r="D83" i="1" s="1"/>
  <c r="D111" i="1"/>
  <c r="D110" i="1" s="1"/>
  <c r="D97" i="1"/>
  <c r="D116" i="1" s="1"/>
  <c r="H37" i="2" s="1"/>
  <c r="H82" i="2"/>
  <c r="D80" i="1"/>
  <c r="H83" i="2" s="1"/>
  <c r="D55" i="1"/>
  <c r="D56" i="1" s="1"/>
  <c r="D25" i="1"/>
  <c r="D59" i="1"/>
  <c r="D60" i="1"/>
  <c r="D63" i="1" s="1"/>
  <c r="D54" i="1"/>
  <c r="D27" i="1"/>
  <c r="D34" i="1" s="1"/>
  <c r="D48" i="1"/>
  <c r="D49" i="1" s="1"/>
  <c r="D52" i="1"/>
  <c r="D57" i="1" s="1"/>
  <c r="D41" i="1"/>
  <c r="D32" i="1"/>
  <c r="D33" i="1" s="1"/>
  <c r="D44" i="1"/>
  <c r="D47" i="1" s="1"/>
  <c r="D77" i="1" l="1"/>
  <c r="D76" i="1"/>
  <c r="H84" i="2" s="1"/>
  <c r="H85" i="2"/>
  <c r="D281" i="1"/>
  <c r="D117" i="1"/>
  <c r="H36" i="2" s="1"/>
  <c r="D66" i="1"/>
  <c r="D50" i="1"/>
  <c r="D126" i="1"/>
  <c r="D138" i="1" s="1"/>
  <c r="H40" i="2" s="1"/>
  <c r="D122" i="1"/>
  <c r="H58" i="2" l="1"/>
  <c r="H43" i="2"/>
  <c r="D239" i="1"/>
  <c r="H32" i="2" s="1"/>
  <c r="D238" i="1"/>
  <c r="H73" i="2" s="1"/>
  <c r="D222" i="1" l="1"/>
  <c r="I58" i="2"/>
  <c r="H57" i="2"/>
  <c r="D327" i="1"/>
  <c r="I57" i="2" s="1"/>
  <c r="I56" i="2"/>
  <c r="D168" i="1"/>
  <c r="D167" i="1"/>
  <c r="D214" i="1"/>
  <c r="D182" i="1"/>
  <c r="D147" i="1"/>
  <c r="D148" i="1" s="1"/>
  <c r="D149" i="1" s="1"/>
  <c r="H86" i="2" s="1"/>
  <c r="D150" i="1" l="1"/>
  <c r="D153" i="1"/>
  <c r="D152" i="1" s="1"/>
  <c r="H38" i="2" s="1"/>
  <c r="D236" i="1"/>
  <c r="H48" i="2" s="1"/>
  <c r="D235" i="1"/>
  <c r="D234" i="1"/>
  <c r="D233" i="1"/>
  <c r="H72" i="2" s="1"/>
  <c r="D151" i="1" l="1"/>
  <c r="H88" i="2" s="1"/>
  <c r="H87" i="2"/>
  <c r="D165" i="1"/>
  <c r="H39" i="2" s="1"/>
  <c r="D232" i="1"/>
  <c r="D229" i="1"/>
  <c r="H59" i="2" s="1"/>
  <c r="D228" i="1"/>
  <c r="H31" i="2" s="1"/>
  <c r="D212" i="1"/>
  <c r="H76" i="2" s="1"/>
  <c r="D205" i="1"/>
  <c r="D204" i="1"/>
  <c r="D192" i="1"/>
  <c r="D190" i="1"/>
  <c r="H78" i="2" s="1"/>
  <c r="D189" i="1"/>
  <c r="D203" i="1"/>
  <c r="D211" i="1"/>
  <c r="D181" i="1"/>
  <c r="D188" i="1"/>
  <c r="D187" i="1"/>
  <c r="D186" i="1"/>
  <c r="D185" i="1"/>
  <c r="D184" i="1"/>
  <c r="D183" i="1"/>
  <c r="D210" i="1"/>
  <c r="D207" i="1"/>
  <c r="D209" i="1"/>
  <c r="D208" i="1"/>
  <c r="D206" i="1"/>
  <c r="D201" i="1"/>
  <c r="D200" i="1"/>
  <c r="H75" i="2" l="1"/>
  <c r="H70" i="2"/>
  <c r="H60" i="2"/>
  <c r="D231" i="1"/>
  <c r="H68" i="2"/>
  <c r="D221" i="1"/>
  <c r="H77" i="2" s="1"/>
  <c r="D220" i="1"/>
  <c r="H74" i="2" s="1"/>
  <c r="D219" i="1"/>
  <c r="H71" i="2" s="1"/>
  <c r="D218" i="1"/>
  <c r="H69" i="2" s="1"/>
  <c r="D217" i="1"/>
  <c r="H67" i="2" s="1"/>
  <c r="D216" i="1"/>
  <c r="H66" i="2" s="1"/>
  <c r="D215" i="1"/>
  <c r="H64" i="2" s="1"/>
  <c r="H65" i="2" l="1"/>
  <c r="D240" i="1"/>
  <c r="D241" i="1" s="1"/>
  <c r="D179" i="1"/>
  <c r="D178" i="1" s="1"/>
  <c r="F176" i="1"/>
  <c r="D175" i="1"/>
  <c r="D173" i="1"/>
  <c r="D174" i="1" s="1"/>
  <c r="D245" i="1"/>
  <c r="D246" i="1" s="1"/>
  <c r="D176" i="1" l="1"/>
  <c r="H52" i="2"/>
  <c r="D177" i="1"/>
  <c r="D242" i="1"/>
  <c r="H56" i="2" s="1"/>
  <c r="D243" i="1"/>
  <c r="D163" i="1" l="1"/>
  <c r="D225" i="1" l="1"/>
  <c r="D224" i="1" l="1"/>
  <c r="H46" i="2" s="1"/>
</calcChain>
</file>

<file path=xl/sharedStrings.xml><?xml version="1.0" encoding="utf-8"?>
<sst xmlns="http://schemas.openxmlformats.org/spreadsheetml/2006/main" count="1489" uniqueCount="700">
  <si>
    <t xml:space="preserve">№ п/п </t>
  </si>
  <si>
    <t>Наименование вида работ</t>
  </si>
  <si>
    <t>Ед. из.</t>
  </si>
  <si>
    <t>Кол-во</t>
  </si>
  <si>
    <t>Формула расчета. Расчет объемов работ и расхода материалов. Пояснения по размерам и количеству согласно проектным данным</t>
  </si>
  <si>
    <t xml:space="preserve">ВЕДОМОСТЬ ОБЪЕМОВ РАБОТ </t>
  </si>
  <si>
    <t>I</t>
  </si>
  <si>
    <t>м</t>
  </si>
  <si>
    <t>м³</t>
  </si>
  <si>
    <t>шт</t>
  </si>
  <si>
    <t>Строительная длина КЛ-0,4 кВ</t>
  </si>
  <si>
    <t>Рытье траншеи Т-2 шириной 300мм, глубина 900мм</t>
  </si>
  <si>
    <t>Протяжка кабеля в трубе</t>
  </si>
  <si>
    <t>Уплотнение кабеля в трубе</t>
  </si>
  <si>
    <t>Засыпка траншеи Т-2 высотой 150мм песком</t>
  </si>
  <si>
    <t>Покрытие кабеля кирпичом</t>
  </si>
  <si>
    <t>Засыпка траншеи Т-2  песком 150мм (устройство постели из песка)</t>
  </si>
  <si>
    <t>1.1</t>
  </si>
  <si>
    <t>1.2</t>
  </si>
  <si>
    <t>1.3</t>
  </si>
  <si>
    <t>на прокладку в траншее</t>
  </si>
  <si>
    <t>на прокладку в траншее в трубе</t>
  </si>
  <si>
    <t>2.1</t>
  </si>
  <si>
    <t>2.2</t>
  </si>
  <si>
    <t>2.3</t>
  </si>
  <si>
    <t>2.5</t>
  </si>
  <si>
    <t>Расход песка</t>
  </si>
  <si>
    <t>Расход кирпича</t>
  </si>
  <si>
    <t>баллон</t>
  </si>
  <si>
    <t>Пуско-наладочные работы</t>
  </si>
  <si>
    <t>Испытание кабеля до 1 кВ напряжением</t>
  </si>
  <si>
    <t>исп</t>
  </si>
  <si>
    <t>жила</t>
  </si>
  <si>
    <t>IV</t>
  </si>
  <si>
    <t>3</t>
  </si>
  <si>
    <t>3.1</t>
  </si>
  <si>
    <t>3.2</t>
  </si>
  <si>
    <t>3.3</t>
  </si>
  <si>
    <t>3.4</t>
  </si>
  <si>
    <t>3.5</t>
  </si>
  <si>
    <t>1.4</t>
  </si>
  <si>
    <t>1.4.1</t>
  </si>
  <si>
    <t>1.4.2</t>
  </si>
  <si>
    <t>1.4.3</t>
  </si>
  <si>
    <t>1.4.4</t>
  </si>
  <si>
    <t>5</t>
  </si>
  <si>
    <t>5.1</t>
  </si>
  <si>
    <t>5.2</t>
  </si>
  <si>
    <t>5.3</t>
  </si>
  <si>
    <t>5.4</t>
  </si>
  <si>
    <t>5.5</t>
  </si>
  <si>
    <t>5.6</t>
  </si>
  <si>
    <t>6</t>
  </si>
  <si>
    <t>7</t>
  </si>
  <si>
    <t>2.4</t>
  </si>
  <si>
    <t>Расход огнестойкой монтажной пены. Выход материала 45л</t>
  </si>
  <si>
    <t xml:space="preserve">Укладка труб ПЭ-80 SDR17 Ø110 в траншею </t>
  </si>
  <si>
    <t>на ввод в РУ-6кВ</t>
  </si>
  <si>
    <t>на ввод в КТПН</t>
  </si>
  <si>
    <t>Монтаж концевых кабельных муфт внуренней установки с болтовыми наконечниками 3КВТп-10-70/120</t>
  </si>
  <si>
    <t>Расход трубы ПЭ-80 SDR17 Ø110</t>
  </si>
  <si>
    <t>Испытание кабеля до 10 кВ напряжением</t>
  </si>
  <si>
    <t>Фазировка электрической линии или трансформатора с сетью напряжением до 10 кВ</t>
  </si>
  <si>
    <t>№ п/п</t>
  </si>
  <si>
    <t>Наименование и техническая характеристика</t>
  </si>
  <si>
    <t>Тип, марка, обозначение
документа, опросного листа</t>
  </si>
  <si>
    <t>Код оборудования,
изделия,
материала</t>
  </si>
  <si>
    <t>Завод-изготовитель</t>
  </si>
  <si>
    <t>Единица
измерения</t>
  </si>
  <si>
    <t>Количество</t>
  </si>
  <si>
    <t>Масса
единицы, кг.</t>
  </si>
  <si>
    <t>Примечание</t>
  </si>
  <si>
    <t>1. Электрооборудование</t>
  </si>
  <si>
    <t>шт.</t>
  </si>
  <si>
    <t>1.5</t>
  </si>
  <si>
    <t>2. Кабельные изделия</t>
  </si>
  <si>
    <t>ТУ 3599-006-97284872-2006</t>
  </si>
  <si>
    <t>2.6</t>
  </si>
  <si>
    <t>2.7</t>
  </si>
  <si>
    <t>2.8</t>
  </si>
  <si>
    <t>ГОСТ 31946-2012</t>
  </si>
  <si>
    <t>3.6</t>
  </si>
  <si>
    <t>3.7</t>
  </si>
  <si>
    <t>3.8</t>
  </si>
  <si>
    <t>3.9</t>
  </si>
  <si>
    <t>ГОСТ 103-2006</t>
  </si>
  <si>
    <t>3.10</t>
  </si>
  <si>
    <t>3.13</t>
  </si>
  <si>
    <t>3.14</t>
  </si>
  <si>
    <t>4.1</t>
  </si>
  <si>
    <t>F207</t>
  </si>
  <si>
    <t>4.2</t>
  </si>
  <si>
    <t>NB20</t>
  </si>
  <si>
    <t>4.3</t>
  </si>
  <si>
    <t>CS10.3</t>
  </si>
  <si>
    <t>4.4</t>
  </si>
  <si>
    <t>4.5</t>
  </si>
  <si>
    <t xml:space="preserve">Зажим для соединения СИП с кабелем </t>
  </si>
  <si>
    <t>PR151+BI</t>
  </si>
  <si>
    <t>4.6</t>
  </si>
  <si>
    <t>Р72</t>
  </si>
  <si>
    <t>4.7</t>
  </si>
  <si>
    <t>Заземляющий проводник ЗП6</t>
  </si>
  <si>
    <t>25.0017-43</t>
  </si>
  <si>
    <t>ГОСТ 18599-2001</t>
  </si>
  <si>
    <t>5.7</t>
  </si>
  <si>
    <t xml:space="preserve">Пена монтажная огнестойкая. (Выход материала 45л) </t>
  </si>
  <si>
    <t>5.9</t>
  </si>
  <si>
    <t>Песок природный для строительных: работ очень мелкий с крупностью зерен размером свыше 1,25 мм</t>
  </si>
  <si>
    <t>ГОСТ 8736-2014</t>
  </si>
  <si>
    <t>5.10</t>
  </si>
  <si>
    <t>Кирпич керамический полнотелый 250х120х65мм</t>
  </si>
  <si>
    <t>ГОСТ 530-2012</t>
  </si>
  <si>
    <t>5.11</t>
  </si>
  <si>
    <t>кг</t>
  </si>
  <si>
    <t>5.13</t>
  </si>
  <si>
    <t>ГОСТ 18410-73</t>
  </si>
  <si>
    <t>Концевая кабельная муфта внуренней установки с болтовыми наконечниками 3КВТп-10-70/120 (Б)</t>
  </si>
  <si>
    <t>Труба ПЭ-80 SDR17 Ø110</t>
  </si>
  <si>
    <t>2.9</t>
  </si>
  <si>
    <t>2.10</t>
  </si>
  <si>
    <t>2.11</t>
  </si>
  <si>
    <t>4</t>
  </si>
  <si>
    <t>13.1</t>
  </si>
  <si>
    <t>13.2</t>
  </si>
  <si>
    <t>II</t>
  </si>
  <si>
    <t>Строительная длина ЛЭП-0,4 кВ</t>
  </si>
  <si>
    <t>Строительная длина ВЛИ-0,4 кВ</t>
  </si>
  <si>
    <t>Установка железобетонных опор ВЛИ 0,4 кВ:</t>
  </si>
  <si>
    <t>- одностоечных</t>
  </si>
  <si>
    <t>Бурение котлованов глубиной 2500мм, d=350мм</t>
  </si>
  <si>
    <t>Объем вынимаемого грунта</t>
  </si>
  <si>
    <t>Обратная засыпка грунта</t>
  </si>
  <si>
    <t>Послойное уплотнение грунта (слой не более 200мм)</t>
  </si>
  <si>
    <t>Монтаж стойки СВ95-3,5</t>
  </si>
  <si>
    <t>Развозка конструкций и материалов опор ВЛИ 0,4 кВ</t>
  </si>
  <si>
    <t>- 1 цепь</t>
  </si>
  <si>
    <t>на ввод в ЩСН</t>
  </si>
  <si>
    <t>Монтаж светильников на опоры</t>
  </si>
  <si>
    <t>Монтаж заземляющих устройств опор  ВЛИ 0,4 кВ</t>
  </si>
  <si>
    <t>Подвеска проводов СИП-4 4х16 в населенной местности с помощью механизмов</t>
  </si>
  <si>
    <t>Разработка грунта для выполнения заземления. Траншея шириной 300мм, глубиной 500мм. Длина траншеи на 1 заземление 600мм</t>
  </si>
  <si>
    <t>Забивка вертикальных заземлителей из стали круг 18-В-II, L=5м</t>
  </si>
  <si>
    <t xml:space="preserve"> - на магистраль</t>
  </si>
  <si>
    <t xml:space="preserve"> - на ввод в ЩСН</t>
  </si>
  <si>
    <t>Монтаж промежуточной арматуры П23</t>
  </si>
  <si>
    <t>Заземляющий проводник ЗП6 25.0017-43</t>
  </si>
  <si>
    <t>Металлическая лента 20х0,7х1000 мм</t>
  </si>
  <si>
    <t>Металлическая лента 20х0,7х1000 мм F207</t>
  </si>
  <si>
    <t xml:space="preserve">Скрепа </t>
  </si>
  <si>
    <t>Скрепа NC20</t>
  </si>
  <si>
    <t>2*4=8</t>
  </si>
  <si>
    <t>Зажим поддерживающий для СИП-4</t>
  </si>
  <si>
    <t>Зажим поддерживающий для СИП-4 PS 16/120</t>
  </si>
  <si>
    <t>Крюк универсальный</t>
  </si>
  <si>
    <t>Крюк универсальный CS 16</t>
  </si>
  <si>
    <t>Зажим ответвительный</t>
  </si>
  <si>
    <t>Зажим ответвительный Р72</t>
  </si>
  <si>
    <t>Плашечный зажим</t>
  </si>
  <si>
    <t>Плашечный зажим CD35</t>
  </si>
  <si>
    <t>Стяжной хомут  16-70 мм</t>
  </si>
  <si>
    <t>Стяжной хомут  16-70 мм E778</t>
  </si>
  <si>
    <t>Бугель NВ20</t>
  </si>
  <si>
    <t>Анкерный кронштейн</t>
  </si>
  <si>
    <t>Анкерный кронштейн CS10.3</t>
  </si>
  <si>
    <t>Натяжной зажим для СИП-4</t>
  </si>
  <si>
    <t>Натяжной зажим для СИП-4 DN123</t>
  </si>
  <si>
    <t>Монтаж анкерной арматуры А23 концевое крепление</t>
  </si>
  <si>
    <t>Монтаж анкерной арматуры А23 (Переход с кабеля на провод)</t>
  </si>
  <si>
    <t>на подъем по опоре</t>
  </si>
  <si>
    <t>25.0017-02</t>
  </si>
  <si>
    <t>25.0017-23</t>
  </si>
  <si>
    <t>Дистанционный бандаж</t>
  </si>
  <si>
    <t>Дистанционный бандаж BIC-15.50</t>
  </si>
  <si>
    <t>Зажим для соединения СИП с кабелем PR151+BI</t>
  </si>
  <si>
    <t>Механическая защита кабеля уголок стальной 50х50х3 L=2,5м</t>
  </si>
  <si>
    <t>Герметичный колпачок</t>
  </si>
  <si>
    <t>Герметичный колпачок CE25.150</t>
  </si>
  <si>
    <t>Расход провода СИП-4 4х16</t>
  </si>
  <si>
    <t>Светильник светодиодный консольный ДКУ 1002-100Д 5000К IP65</t>
  </si>
  <si>
    <t>Кронштейн КР-2М D=48мм L=350мм под монтажную ленту регулируемый угол</t>
  </si>
  <si>
    <t>Зажим</t>
  </si>
  <si>
    <t>Зажим ЗОИ 16-95/2.5-35</t>
  </si>
  <si>
    <t>Провод с резиновой изоляцией КГТП-ХЛ 2х1.5-660 ГОСТ 7399-80</t>
  </si>
  <si>
    <t>Монтаж переносного заземления и ОПН</t>
  </si>
  <si>
    <t>компл.</t>
  </si>
  <si>
    <t>Монтаж зажимов для наложения переносного заземления РС481</t>
  </si>
  <si>
    <t>Монтаж ограничителей перенапряжения ОР 600/500</t>
  </si>
  <si>
    <t>ПУЭ п. 2.4.47</t>
  </si>
  <si>
    <t>2</t>
  </si>
  <si>
    <t>2.1.1</t>
  </si>
  <si>
    <t>2.1.2</t>
  </si>
  <si>
    <t>3.1.1</t>
  </si>
  <si>
    <t>3.7.1</t>
  </si>
  <si>
    <t>3.8.1</t>
  </si>
  <si>
    <t>3.8.2</t>
  </si>
  <si>
    <t>3.8.3</t>
  </si>
  <si>
    <t>3.8.4</t>
  </si>
  <si>
    <t>3.8.5</t>
  </si>
  <si>
    <t>3.8.6</t>
  </si>
  <si>
    <t>3.8.7</t>
  </si>
  <si>
    <t>3.8.8</t>
  </si>
  <si>
    <t>3.8.9</t>
  </si>
  <si>
    <t>3.8.10</t>
  </si>
  <si>
    <t>3.8.11</t>
  </si>
  <si>
    <t>3.8.12</t>
  </si>
  <si>
    <t>3.9.1</t>
  </si>
  <si>
    <t>3.9.2</t>
  </si>
  <si>
    <t>3.9.3</t>
  </si>
  <si>
    <t>3.9.4</t>
  </si>
  <si>
    <t>3.9.5</t>
  </si>
  <si>
    <t>3.9.6</t>
  </si>
  <si>
    <t>3.9.7</t>
  </si>
  <si>
    <t>3.9.8</t>
  </si>
  <si>
    <t>3.10.1</t>
  </si>
  <si>
    <t>3.10.2</t>
  </si>
  <si>
    <t>3.10.3</t>
  </si>
  <si>
    <t>3.10.4</t>
  </si>
  <si>
    <t>3.10.5</t>
  </si>
  <si>
    <t>3.10.6</t>
  </si>
  <si>
    <t>3.10.7</t>
  </si>
  <si>
    <t>3.10.8</t>
  </si>
  <si>
    <t>3.10.9</t>
  </si>
  <si>
    <t>3.10.10</t>
  </si>
  <si>
    <t>3.11</t>
  </si>
  <si>
    <t>3.11.1</t>
  </si>
  <si>
    <t>3.11.2</t>
  </si>
  <si>
    <t>3.11.3</t>
  </si>
  <si>
    <t>3.11.4</t>
  </si>
  <si>
    <t>3.11.5</t>
  </si>
  <si>
    <t>3.11.6</t>
  </si>
  <si>
    <t>3.11.7</t>
  </si>
  <si>
    <t>3.11.8</t>
  </si>
  <si>
    <t>3.12</t>
  </si>
  <si>
    <t>3.12.1</t>
  </si>
  <si>
    <t>3.13.1</t>
  </si>
  <si>
    <t>3.13.2</t>
  </si>
  <si>
    <t>3.14.1</t>
  </si>
  <si>
    <t>3.14.2</t>
  </si>
  <si>
    <t>3.14.3</t>
  </si>
  <si>
    <t>3.14.4</t>
  </si>
  <si>
    <t>3.14.5</t>
  </si>
  <si>
    <t>3.14.6</t>
  </si>
  <si>
    <t>3.14.7</t>
  </si>
  <si>
    <t>3.14.8</t>
  </si>
  <si>
    <t>3.14.9</t>
  </si>
  <si>
    <t>3.15</t>
  </si>
  <si>
    <t>3.15.1</t>
  </si>
  <si>
    <t>3.15.2</t>
  </si>
  <si>
    <t>3.16</t>
  </si>
  <si>
    <t>3.16.1</t>
  </si>
  <si>
    <t>3.16.2</t>
  </si>
  <si>
    <t>3.16.3</t>
  </si>
  <si>
    <t>Измерение сопротивления растеканию тока заземляющих устройств</t>
  </si>
  <si>
    <t>Проверка наличия цепи между заземлителями и заземляемыми элементами</t>
  </si>
  <si>
    <t>Измерение сопротивления изоляции</t>
  </si>
  <si>
    <t>Замер полного сопротивления цепи "фаза-нуль"</t>
  </si>
  <si>
    <t>Фазировка электрической линии напряжением до 1 кВ</t>
  </si>
  <si>
    <t>1
фаз-
ка</t>
  </si>
  <si>
    <t>100
точек</t>
  </si>
  <si>
    <t>1изм</t>
  </si>
  <si>
    <t>3.17</t>
  </si>
  <si>
    <t>3.17.1</t>
  </si>
  <si>
    <t>3.17.2</t>
  </si>
  <si>
    <t>3.17.3</t>
  </si>
  <si>
    <t>3.17.4</t>
  </si>
  <si>
    <t>3.17.5</t>
  </si>
  <si>
    <t>3.17.6</t>
  </si>
  <si>
    <t>Монтаж устройства заземления проектируемых КТПН</t>
  </si>
  <si>
    <t>Расход стали круг 18-В-II            ГОСТ 2590-2006/Ст3псI-II        ГОСТ 535-2005</t>
  </si>
  <si>
    <t xml:space="preserve">Укладка горизонтального заземлителя полоса стальная 40х5 </t>
  </si>
  <si>
    <t>Расход стали полосовой горячекатанной 40х5                       ГОСТ 103-2006</t>
  </si>
  <si>
    <t>Соединение горизонтального заземлителя с корпусами КТПН и контейнерами</t>
  </si>
  <si>
    <t>Расход кабеля АВБбШвнг-LS 5х25</t>
  </si>
  <si>
    <t>на ввод в АВР ЩСН</t>
  </si>
  <si>
    <t>Монтаж концевых кабельных муфт внуренней установки с болтовыми наконечниками 5КВТп-1-25/50</t>
  </si>
  <si>
    <t>1</t>
  </si>
  <si>
    <t>III</t>
  </si>
  <si>
    <t>Строительство КЛ-0,4кВ от АВР ЩСН до ЩР помещения охраны</t>
  </si>
  <si>
    <t>на ввод в ЩР</t>
  </si>
  <si>
    <t>Расход кабеля АВБбШвнг-LS 4х16</t>
  </si>
  <si>
    <t>2,32*2,5*1=5,8</t>
  </si>
  <si>
    <t>2*3=6</t>
  </si>
  <si>
    <t>V</t>
  </si>
  <si>
    <t>VI</t>
  </si>
  <si>
    <t>VII</t>
  </si>
  <si>
    <t>VIII</t>
  </si>
  <si>
    <t>Комплектная трансформаторная подстанция 6/0,4кВ мощностью 2500кВА</t>
  </si>
  <si>
    <t>комплект</t>
  </si>
  <si>
    <t>Шкаф собственных нужд в составе:</t>
  </si>
  <si>
    <t>Автоматический выключатель Iн=80, Номин. отключающая способность Icu при 400 В, 50 Гц 18 кА</t>
  </si>
  <si>
    <t>EKF</t>
  </si>
  <si>
    <t xml:space="preserve">ВА-99МL 100/80А 3P 18кА EKF Basic </t>
  </si>
  <si>
    <t>Контактор КТЭ реверсивный 115А 230В 2NO</t>
  </si>
  <si>
    <t>АВР в составе:</t>
  </si>
  <si>
    <t xml:space="preserve">КТЭ 115А 230В 2NO EKF </t>
  </si>
  <si>
    <t>ctr-b-r-115</t>
  </si>
  <si>
    <t>mccb99-100-80mi</t>
  </si>
  <si>
    <t>mcb4763-3-02B-pro</t>
  </si>
  <si>
    <t>ВА 47-63 3P 2А (B) 4,5кА</t>
  </si>
  <si>
    <t>Автоматический выключатель 3P Iн=2А Характеристика "B"  Номин. отключающая способность 4,5кА</t>
  </si>
  <si>
    <t xml:space="preserve">Реле контроля фаз </t>
  </si>
  <si>
    <t>RKF-11m EKF PROxima</t>
  </si>
  <si>
    <t>rkf-11m</t>
  </si>
  <si>
    <t>xb2-bd33</t>
  </si>
  <si>
    <t>BD33</t>
  </si>
  <si>
    <t>Переключатель 3P короткая ручка 2NO</t>
  </si>
  <si>
    <t>ABLFS-22</t>
  </si>
  <si>
    <t>Кнопка с подсветкой зеленый NO+NC 230В</t>
  </si>
  <si>
    <t>ablfs-22-g</t>
  </si>
  <si>
    <t>mcb4763-2-10C-pro</t>
  </si>
  <si>
    <t>mcb4763-2-20D-pro</t>
  </si>
  <si>
    <t>Автоматический выключатель 2P Iн=10А Характеристика "С"  Номин. отключающая способность 4,5кА</t>
  </si>
  <si>
    <t>Автоматический выключатель 2P Iн=12А Характеристика "D"  Номин. отключающая способность 4,5кА</t>
  </si>
  <si>
    <t>ВА 47-63 3P 20А (D) 4,5кА</t>
  </si>
  <si>
    <t xml:space="preserve">Дифференциальный автомат АД-32 3P+N 16А/30мА (тип А) </t>
  </si>
  <si>
    <t>АД-32 3P+N 16А/30мА</t>
  </si>
  <si>
    <t>DA32-16-30-4P-a-pro</t>
  </si>
  <si>
    <t>OV12-1-501</t>
  </si>
  <si>
    <t>Устройство защиты от импульсных перенапряжений Т1+Т2; Iimp-12,5kA; In-20kA; Uc-275В; 1+0</t>
  </si>
  <si>
    <t>Т1+Т2; Iimp-12,5kA; In-20kA; Uc-275В; 1+0</t>
  </si>
  <si>
    <t>Автоматический выключатель 3P Iн=25А Характеристика "С"  Номин. отключающая способность 4,5кА</t>
  </si>
  <si>
    <t>ВА 47-63 3P 25А (С) 4,5кА</t>
  </si>
  <si>
    <t>ВА 47-63 2P 10А (С) 4,5кА</t>
  </si>
  <si>
    <t>mcb4763-3-25C-pro</t>
  </si>
  <si>
    <t xml:space="preserve">Дифференциальный автомат АД-32 3P+N 32А/30мА (тип А) </t>
  </si>
  <si>
    <t>АД-32 3P+N 32А/30мА</t>
  </si>
  <si>
    <t>DA32-32-30-4P-a-pro</t>
  </si>
  <si>
    <t>ИБП SW1000SL (1000 ВА)</t>
  </si>
  <si>
    <t>Источники бесперебойного питания настенного размещения со встроенными аккумуляторными батареями и возможностью подключения внешних аккумуляторных батарей. Номинальная выходная мощность 1000 ВА</t>
  </si>
  <si>
    <t>ЩР помещения охраны в составе:</t>
  </si>
  <si>
    <t>Автоматический выключатель 2P Iн=16А Характеристика "С"  Номин. отключающая способность 4,5кА</t>
  </si>
  <si>
    <t>ВА 47-63 2P 16А (С) 4,5кА</t>
  </si>
  <si>
    <t>mcb4763-2-16C-pro</t>
  </si>
  <si>
    <t>ГОСТ 31996-2012</t>
  </si>
  <si>
    <t>Силовой бронированный лентами кабель - 4 на 16 мм2, с алюминиевой жилой, изоляцией и защитным шлангом из ПВХ пониженной пожарной опасности АВБбШвнг-LS 4х16</t>
  </si>
  <si>
    <t>Монтаж концевых кабельных муфт внуренней установки с болтовыми наконечниками 4КНТп-1 (16-25)</t>
  </si>
  <si>
    <t>Концевая кабельная муфта внуренней установки с болтовыми наконечниками 4КВТп-1-16/25 (Б)</t>
  </si>
  <si>
    <t>Концевая кабельная муфта внуренней установки с болтовыми наконечниками 5КВТп-1-25/50 (Б)</t>
  </si>
  <si>
    <t>Провод самонесущий с алюминиевыми фазными токопроводящими жилами, с изоляцией из сшитого полиэтилена СИП4 4х16</t>
  </si>
  <si>
    <t>3. Железобетонные элементы</t>
  </si>
  <si>
    <t>Стойка СВ95-3,5</t>
  </si>
  <si>
    <t>3.407.1-143</t>
  </si>
  <si>
    <t>ДКУ 1002-100Д 5000К IP65</t>
  </si>
  <si>
    <t>Светильник светодиодный консольный</t>
  </si>
  <si>
    <t>ГОСТ 2590-2006/Ст3псI-II        ГОСТ 535-2005</t>
  </si>
  <si>
    <t>Сталь круглая горячекатанная 18-В-II L=5м</t>
  </si>
  <si>
    <t>Полоса стальная горячекатанная 40х5</t>
  </si>
  <si>
    <t>ГОСТ 8509-93</t>
  </si>
  <si>
    <t>Уголок стальной равнополочный 50х50х3 L=2,5м</t>
  </si>
  <si>
    <t>Кронштейн D=48мм L=350мм под монтажную ленту регулируемый угол</t>
  </si>
  <si>
    <t>КР-2М</t>
  </si>
  <si>
    <t xml:space="preserve">Провод с резиновой изоляцией КГТП-ХЛ 2х1.5-660 </t>
  </si>
  <si>
    <t>ГОСТ 7399-80</t>
  </si>
  <si>
    <t>2.12</t>
  </si>
  <si>
    <t>2.13</t>
  </si>
  <si>
    <t>Бугель</t>
  </si>
  <si>
    <t>NC20</t>
  </si>
  <si>
    <t>PS 16/120</t>
  </si>
  <si>
    <t>CS 16</t>
  </si>
  <si>
    <t>DN123</t>
  </si>
  <si>
    <t>ЗОИ 16-95/2.5-35</t>
  </si>
  <si>
    <t>CD35</t>
  </si>
  <si>
    <t>BIC-15.50</t>
  </si>
  <si>
    <t>CE25.150</t>
  </si>
  <si>
    <t>E778</t>
  </si>
  <si>
    <t>РС481</t>
  </si>
  <si>
    <t>Зажим ответвительный для переносного заземления</t>
  </si>
  <si>
    <t>ОР 600/50</t>
  </si>
  <si>
    <t>Ограничитель перенапряжения в комплекте с прокалывающим зажимом</t>
  </si>
  <si>
    <t>1.6</t>
  </si>
  <si>
    <t>4. Стальные конструкции</t>
  </si>
  <si>
    <t>5. Линейная арматура</t>
  </si>
  <si>
    <t>5.8</t>
  </si>
  <si>
    <t>5.12</t>
  </si>
  <si>
    <t>5.14</t>
  </si>
  <si>
    <t>5.15</t>
  </si>
  <si>
    <t>6. Материалы</t>
  </si>
  <si>
    <t>6.1</t>
  </si>
  <si>
    <t>6.2</t>
  </si>
  <si>
    <t>6.3</t>
  </si>
  <si>
    <t>6.4</t>
  </si>
  <si>
    <t>6.5</t>
  </si>
  <si>
    <t>1
т.п.</t>
  </si>
  <si>
    <t>Расход кабеля ААБлШв 3х95</t>
  </si>
  <si>
    <t>Фотореле с выносным датчиком</t>
  </si>
  <si>
    <t>DIN-1 (ФР) 2-100Лк 25А 3000Вт</t>
  </si>
  <si>
    <t>fr-din-1-25</t>
  </si>
  <si>
    <t>0,3*5=1,5</t>
  </si>
  <si>
    <t>2*5=10</t>
  </si>
  <si>
    <t>1*5=5</t>
  </si>
  <si>
    <t>379.14.04.22-ОЛ1</t>
  </si>
  <si>
    <t>379.14.04.22-ОЛ2</t>
  </si>
  <si>
    <t>Монтаж проектируемой ячейки КРУН-6 кВ ПС 110/6 кВ Юбилейная</t>
  </si>
  <si>
    <t>Монтаж ячейки КРУН-6 кВ</t>
  </si>
  <si>
    <t>Подключение КРУН к существующим шинам 6 кВ</t>
  </si>
  <si>
    <t>Подключение КРУН к существующествующему контуру заземления</t>
  </si>
  <si>
    <t>Измерение токов утечки: ограничителя напряжения</t>
  </si>
  <si>
    <t>Испытание: первичной обмотки трансформатора измерительного (на стороне 10 кВ)</t>
  </si>
  <si>
    <t>Испытание: вторичной обмотки трансформатора измерительного (на стороне 10 кВ)</t>
  </si>
  <si>
    <t>Испытание сборных и соединительных шин напряжением: до 11 кВ</t>
  </si>
  <si>
    <t>МТЗ на постоянном и переменном оперативном токе с: реле индукционного действия РТ-85</t>
  </si>
  <si>
    <t>Испытание цепи вторичной коммутации</t>
  </si>
  <si>
    <t>4.8</t>
  </si>
  <si>
    <t>4.9</t>
  </si>
  <si>
    <t>4.10</t>
  </si>
  <si>
    <t>4.11</t>
  </si>
  <si>
    <t>4.12</t>
  </si>
  <si>
    <t>4.13</t>
  </si>
  <si>
    <t>4.14</t>
  </si>
  <si>
    <t>4.15</t>
  </si>
  <si>
    <t>Выключатель: автоматический с электромагнитным дутьем или вакуумный и элегазовый напряжением до 11 кВ</t>
  </si>
  <si>
    <t>Схема вторичной коммутации масляного выключателя напряжением до 11 кВ с местным управлением и общим приводом: электромагнитным</t>
  </si>
  <si>
    <t>Измерение сопротивления растеканию тока: контура с диагональю до 200 м</t>
  </si>
  <si>
    <t>Проверка действия АПВ</t>
  </si>
  <si>
    <t>Испытание автоматического выключателя</t>
  </si>
  <si>
    <t>Измерение сопротивления между заземлителем и заземляющим элементом</t>
  </si>
  <si>
    <t>Испытание сборных и соединительных шин напряжением до 11 кВ</t>
  </si>
  <si>
    <t>Электрические взаимосвязанные устройства в электроустановках</t>
  </si>
  <si>
    <t>Проверка наличия цепи между заземлителями и заземленными элементами</t>
  </si>
  <si>
    <t>изм.</t>
  </si>
  <si>
    <t>компл</t>
  </si>
  <si>
    <t>Рытье траншеи Т-4 шириной 500мм, глубина 900мм</t>
  </si>
  <si>
    <t>Засыпка траншеи Т-4  песком 150мм (устройство постели из песка)</t>
  </si>
  <si>
    <t>Засыпка траншеи Т-4 высотой 150мм песком</t>
  </si>
  <si>
    <t xml:space="preserve">Укладка кирпича в траншею Т-4 </t>
  </si>
  <si>
    <t xml:space="preserve">Длина траншеи Т-4 </t>
  </si>
  <si>
    <t xml:space="preserve">Длина траншеи Т-5 </t>
  </si>
  <si>
    <t>Рытье траншеи Т-5 шириной 600мм, глубина 900мм</t>
  </si>
  <si>
    <t>Засыпка траншеи Т-5  песком 150мм (устройство постели из песка)</t>
  </si>
  <si>
    <t>Засыпка траншеи Т-5 высотой 150мм песком</t>
  </si>
  <si>
    <t>Расход кабеля ААБлШв 3х35</t>
  </si>
  <si>
    <t>Монтаж концевых кабельных муфт внуренней установки с болтовыми наконечниками 3КВТп-10-25/50</t>
  </si>
  <si>
    <t>Монтаж кабеля внутри здания</t>
  </si>
  <si>
    <t>Крепеж-клипса для труб 63 с фиксатором Fortisflex 58616</t>
  </si>
  <si>
    <t>Дюбель-гвоздь 6х40мм</t>
  </si>
  <si>
    <t>крепление с шагом 0,5м</t>
  </si>
  <si>
    <t>на на монтаж по зданию</t>
  </si>
  <si>
    <t>Расход трубы ПВХ с зондом d20мм</t>
  </si>
  <si>
    <t>14(КЛ)+105(ВЛИ)=119м</t>
  </si>
  <si>
    <t>10+5+5=20</t>
  </si>
  <si>
    <t>14+10+8=32</t>
  </si>
  <si>
    <t>3,14*(0,35/2)²*2,5*8=1,92</t>
  </si>
  <si>
    <t>Объем занимаемый стойкой 0,265*0,185*2,5=0,12м³ Обратная засыпка1,92-8*0,12=0,96</t>
  </si>
  <si>
    <t>2,5/0,2*8=100шт</t>
  </si>
  <si>
    <t>Монтаж анкерной арматуры УА23</t>
  </si>
  <si>
    <t>25.0017-12</t>
  </si>
  <si>
    <t>0,65*1=2,6</t>
  </si>
  <si>
    <t>4*1=4</t>
  </si>
  <si>
    <t>2*1=2</t>
  </si>
  <si>
    <t>1*1=2</t>
  </si>
  <si>
    <t>с учетом запаса 4,5%                               105*1,045=110м</t>
  </si>
  <si>
    <t>110+10=120м</t>
  </si>
  <si>
    <t>2*13=26</t>
  </si>
  <si>
    <t>13*0,75=9,75м</t>
  </si>
  <si>
    <t>1*13=13</t>
  </si>
  <si>
    <t>4,5*13=58,5м</t>
  </si>
  <si>
    <t>0,3*0,5*0,6*8=0,72м³</t>
  </si>
  <si>
    <t>Расход кабеля АВБбШвнг-LS 3х4</t>
  </si>
  <si>
    <t>Разработка грунта для выполнения заземления. Траншея шириной 300мм, глубиной 500мм. Длина траншеи 131м</t>
  </si>
  <si>
    <t>Автоматический выключатель 1P Iн=25А Характеристика "С"  Номин. отключающая способность 4,5кА</t>
  </si>
  <si>
    <t>ВА 47-63 1P 25А (С) 4,5кА</t>
  </si>
  <si>
    <t>mcb4763-1-25C-pro</t>
  </si>
  <si>
    <t>Силовой бронированный лентами кабель - 3 на 35 мм2, с алюминиевой жилой, с бумажной пропитанной изоляцией, алюминиевой оболочкой, наружный покров из битума и пряжи ААБлШв 3х35</t>
  </si>
  <si>
    <t>Силовой бронированный лентами кабель - 3 на 4 мм2, с алюминиевой жилой, изоляцией и защитным шлангом из ПВХ пониженной пожарной опасности АВБбШвнг-LS 3х4</t>
  </si>
  <si>
    <t>Концевая кабельная муфта внуренней установки с болтовыми наконечниками 3КВТп-1-25/50 (Б)</t>
  </si>
  <si>
    <t>Труба гофрированная ПВХ d=20мм с зондом</t>
  </si>
  <si>
    <t>6.6</t>
  </si>
  <si>
    <t>6.7</t>
  </si>
  <si>
    <t xml:space="preserve">Крепеж-клипса для труб 20 с фиксатором </t>
  </si>
  <si>
    <t>Земляные работы кабельных линий 6, 0,4кВ</t>
  </si>
  <si>
    <t>Строительная длина кабельных траншей</t>
  </si>
  <si>
    <t xml:space="preserve">Длина траншеи Т-7 </t>
  </si>
  <si>
    <t>Рытье траншеи Т-7 шириной 800мм, глубина 900мм</t>
  </si>
  <si>
    <t>Засыпка траншеи Т-7  песком 150мм (устройство постели из песка)</t>
  </si>
  <si>
    <t>Засыпка траншеи Т-7 высотой 150мм песком</t>
  </si>
  <si>
    <t xml:space="preserve">Укладка кирпича в траншею Т-7 </t>
  </si>
  <si>
    <t>Обратная засыпка траншеи Т-7 землей</t>
  </si>
  <si>
    <t>8*3+6*2+6*4=60</t>
  </si>
  <si>
    <t>(8+6+6)труб*2=40шт</t>
  </si>
  <si>
    <t xml:space="preserve">Укладка кирпича в траншею Т-5 </t>
  </si>
  <si>
    <t>Обратная засыпка траншеи Т-5 землей</t>
  </si>
  <si>
    <t>от т. А до т. Б</t>
  </si>
  <si>
    <t>112*0,6*0,9=60,48м³</t>
  </si>
  <si>
    <t>см. типовой пр. А5-92-13 112*0,6*0,15=10,08м³</t>
  </si>
  <si>
    <t>см. типовой пр. А5-92-15 112*1668шт/100м=1869шт</t>
  </si>
  <si>
    <t>60,48-10,08*2=40,32м³</t>
  </si>
  <si>
    <t>38м - от т. Б до т. Г,                      9м - от т. Г до ЩСН (техники)</t>
  </si>
  <si>
    <t>47*0,8*0,9=33,84м³</t>
  </si>
  <si>
    <t>см. типовой пр. А5-92-13 47*0,8*0,15=5,64м³</t>
  </si>
  <si>
    <t>47-(3+2+4)(трубы)=38м</t>
  </si>
  <si>
    <t>33,84-5,64*2=22,56м³</t>
  </si>
  <si>
    <t>см. типовой пр. А5-92-15 38*2502шт/100м=951шт</t>
  </si>
  <si>
    <t xml:space="preserve">40м - от т. Б до т. В  +                       + 2м - от т.Б до КТПН№2                             </t>
  </si>
  <si>
    <t>3*2+4*4+4*5+4*4=58</t>
  </si>
  <si>
    <t>(3+4+4+4)*2=30шт</t>
  </si>
  <si>
    <t>см. типовой пр. А5-92-13 42*0,5*0,15=3,15м³</t>
  </si>
  <si>
    <t>42-(2+4+5+4)(трубы)=28м</t>
  </si>
  <si>
    <t>40,32-3,15*2=12,60м³</t>
  </si>
  <si>
    <t>42*0,5*0,9=18,90м³</t>
  </si>
  <si>
    <t xml:space="preserve">Длина траншеи Т-3 </t>
  </si>
  <si>
    <t>Рытье траншеи Т-3 шириной 400мм, глубина 900мм</t>
  </si>
  <si>
    <t>Засыпка траншеи Т-3  песком 150мм (устройство постели из песка)</t>
  </si>
  <si>
    <t>Засыпка траншеи Т-3 высотой 150мм песком</t>
  </si>
  <si>
    <t>Укладка кирпича в траншею Т-3 шириной 300мм</t>
  </si>
  <si>
    <t>см. типовой пр. А5-92-15 28*1668шт/100м=468шт</t>
  </si>
  <si>
    <t>Длина траншеи Т-2</t>
  </si>
  <si>
    <t xml:space="preserve">Укладка кирпича в траншею Т-2 </t>
  </si>
  <si>
    <t>1*2=2</t>
  </si>
  <si>
    <t>1*2=2шт</t>
  </si>
  <si>
    <t>6.8</t>
  </si>
  <si>
    <t>47м-траншея Т-7 +                        112м - траншея Т-5 +                       42м - траншея Т-4 +                        33м - траншея Т-3 +                        44м - траншея Т-2</t>
  </si>
  <si>
    <t>8</t>
  </si>
  <si>
    <t>9</t>
  </si>
  <si>
    <t>10</t>
  </si>
  <si>
    <t>11</t>
  </si>
  <si>
    <t>Строительная длина КЛ-6кВ от проект.яч.1 до КТПН№1</t>
  </si>
  <si>
    <t>Строительство КЛ-6кВ</t>
  </si>
  <si>
    <t>29м - от проект.яч.1 до т.А +             112м - от т.А до т.Б +                          38м - от т.Б до т.Г +                            4м - от.Г до КТПН№1</t>
  </si>
  <si>
    <t>Кабель ААБлШв 3х35</t>
  </si>
  <si>
    <t>Кабель ААБлШв 3х95</t>
  </si>
  <si>
    <t>с учетом запаса 2%                       (183-7(трубы))*1,02=180</t>
  </si>
  <si>
    <t>1.1.1</t>
  </si>
  <si>
    <t>1.1.2</t>
  </si>
  <si>
    <t>1.1.3</t>
  </si>
  <si>
    <t>1.1.4</t>
  </si>
  <si>
    <t>Строительная длина КЛ-6кВ от проект.яч.1 до КТПН№2</t>
  </si>
  <si>
    <t>29м - от проект.яч.1 до т.А +             112м - от т.А до т.Б +                          5м - от т.Б до до КТПН№2</t>
  </si>
  <si>
    <t>180+7+10+10=207</t>
  </si>
  <si>
    <t>с учетом запаса 2%                       (146-3(трубы))*1,02=146</t>
  </si>
  <si>
    <t>146+3+10+10=169</t>
  </si>
  <si>
    <t>2.1.3</t>
  </si>
  <si>
    <t>2.1.4</t>
  </si>
  <si>
    <t>3.1.3</t>
  </si>
  <si>
    <t>3.1.4</t>
  </si>
  <si>
    <t>121+10+10=141</t>
  </si>
  <si>
    <t>с учетом запаса 2%                       119*1,02=121</t>
  </si>
  <si>
    <t>4.1.1</t>
  </si>
  <si>
    <t>4.1.2</t>
  </si>
  <si>
    <t>4.1.3</t>
  </si>
  <si>
    <t>4.1.4</t>
  </si>
  <si>
    <t>Строительная длина КЛ-6кВ от проект.яч.21 до КТПН№3</t>
  </si>
  <si>
    <t>Строительная длина КЛ-6кВ от проект.яч.21 до КТПН№4</t>
  </si>
  <si>
    <t>3м - от проект.яч.21 до т.А +             112м - от т.А до т.Б +                          4м - от т.Б до КТПН№3</t>
  </si>
  <si>
    <t>3м - от проект.яч.21 до т.А +             112м - от т.А до т.Б +                    40м - от т.Б до т.В +                                           2м - от т.В до до КТПН№4</t>
  </si>
  <si>
    <t>4+5+4=13</t>
  </si>
  <si>
    <t>с учетом запаса 2%                       (157-13(трубы))*1,02=147</t>
  </si>
  <si>
    <t>147+13+10+10=180</t>
  </si>
  <si>
    <t>5.1.1</t>
  </si>
  <si>
    <t>5.1.2</t>
  </si>
  <si>
    <t>5.1.3</t>
  </si>
  <si>
    <t>5.1.4</t>
  </si>
  <si>
    <t>Строительная длина КЛ-6кВ от проект.яч.21 до КТПН№5</t>
  </si>
  <si>
    <t>3м - от проект.яч.21 до т.А +             112м - от т.А до т.Б +                    40м - от т.Б до т.В +                                           19м - от т.В до до КТПН№5</t>
  </si>
  <si>
    <t>4+5+4+2=15</t>
  </si>
  <si>
    <t>с учетом запаса 2%                       (174-15(трубы))*1,02=162</t>
  </si>
  <si>
    <t>162+15+10+10=197</t>
  </si>
  <si>
    <t>Расход кабельной муфты           3КВТп-10-70/120</t>
  </si>
  <si>
    <t>Расход кабельной муфты           3КВТп-10-25/50</t>
  </si>
  <si>
    <t>Пуско-наладочные работы             КЛ-6кВ</t>
  </si>
  <si>
    <t>13+10+10=33</t>
  </si>
  <si>
    <t>Строительная длина КЛ-0,4кВ от КТПН №1 до АВР ЩСН</t>
  </si>
  <si>
    <t>Строительство КЛ-0,4кВ для питания АВР ЩСН</t>
  </si>
  <si>
    <t>Кабеля АВБбШвнг-LS 5х25</t>
  </si>
  <si>
    <t>Расход кабельных муфт 5КВТп-1-25/50</t>
  </si>
  <si>
    <t>9.1</t>
  </si>
  <si>
    <t>9.2</t>
  </si>
  <si>
    <t>9.3</t>
  </si>
  <si>
    <t>9.4</t>
  </si>
  <si>
    <t>Строительная длина КЛ-0,4кВ от КТПН №2 до АВР ЩСН</t>
  </si>
  <si>
    <t xml:space="preserve">4м от КТПН№1 до т.Г +                 9м от т.Г до ЩСН                                  </t>
  </si>
  <si>
    <t xml:space="preserve">37м от КТПН№2 до т.Г +                 9м от т.Г до ЩСН                                  </t>
  </si>
  <si>
    <t>4+2=6</t>
  </si>
  <si>
    <t>с учетом запаса 2%                       (46-6(трубы))*1,02=41</t>
  </si>
  <si>
    <t>41+6+10+10=67</t>
  </si>
  <si>
    <t>207+169+180+197=753</t>
  </si>
  <si>
    <t>33+67=100</t>
  </si>
  <si>
    <t>2+2=4</t>
  </si>
  <si>
    <t>Объем земляных работ учтен в II</t>
  </si>
  <si>
    <t>Строительство КЛ-0,4кВ от АВР ЩСН до КТПН</t>
  </si>
  <si>
    <t>Строительство ЛЭП-0,4кВ от АВР ЩСН до наружного освещения оп.1-8</t>
  </si>
  <si>
    <t xml:space="preserve">9м от ЩСГ до т.Г +                          4м от т.Г до КТПН№1                             </t>
  </si>
  <si>
    <t xml:space="preserve">9м от ЩСГ до т.Г +                         37м от т.Г до КТПН№2                </t>
  </si>
  <si>
    <t>Кабеля АВБбШвнг-LS 3х4</t>
  </si>
  <si>
    <t>Строительная длина КЛ-0,4кВ от АВР ЩСН до КТПН №1</t>
  </si>
  <si>
    <t>Строительная длина КЛ-0,4кВ от АВР ЩСН до КТПН №2</t>
  </si>
  <si>
    <t>Строительная длина КЛ-0,4кВ от АВР ЩСН до КТПН №3</t>
  </si>
  <si>
    <t>4+2+2=8</t>
  </si>
  <si>
    <t>с учетом запаса 2%                       (51-8(трубы))*1,02=44</t>
  </si>
  <si>
    <t>44+8+10+10=72</t>
  </si>
  <si>
    <t>8.1</t>
  </si>
  <si>
    <t>8.2</t>
  </si>
  <si>
    <t>8.3</t>
  </si>
  <si>
    <t>8.4</t>
  </si>
  <si>
    <t xml:space="preserve">9м от ЩСГ до т.Г +                         38м от т.Г до т. Б +                      40м от т.Б до т.В +                      2м от т.В до КТПН№4               </t>
  </si>
  <si>
    <t xml:space="preserve">9м от ЩСГ до т.Г +                         38м от т.Г до т. Б +                            4м от т.Б до КТПН№3                </t>
  </si>
  <si>
    <t>Строительная длина КЛ-0,4кВ от АВР ЩСН до КТПН №4</t>
  </si>
  <si>
    <t>4+2+2+4+5+4=21</t>
  </si>
  <si>
    <t>с учетом запаса 2%                       (89-21(трубы))*1,02=69</t>
  </si>
  <si>
    <t>69+21+10+10=110</t>
  </si>
  <si>
    <t>10.1</t>
  </si>
  <si>
    <t>10.2</t>
  </si>
  <si>
    <t>10.3</t>
  </si>
  <si>
    <t>10.4</t>
  </si>
  <si>
    <t>Строительная длина КЛ-0,4кВ от АВР ЩСН до КТПН №5</t>
  </si>
  <si>
    <t xml:space="preserve">9м от ЩСГ до т.Г +                         38м от т.Г до т. Б +                      40м от т.Б до т.В +                      19м от т.В до КТПН№5               </t>
  </si>
  <si>
    <t>4+2+2+4+5+4+2=23</t>
  </si>
  <si>
    <t>с учетом запаса 2%                       (106-23(трубы))*1,02=85</t>
  </si>
  <si>
    <t>85+23+10+10=128</t>
  </si>
  <si>
    <t>33+67+72+110+128=410</t>
  </si>
  <si>
    <t>1,99*5*24=238,8</t>
  </si>
  <si>
    <t>119м в траншее п.1 +                         +57м совместно с траншеями           КЛ п. II</t>
  </si>
  <si>
    <t>3.407-150 ЭС 42 119*0,3*0,5=17,85м³</t>
  </si>
  <si>
    <t>(188+24)*1,57=333</t>
  </si>
  <si>
    <t>Силовой бронированный лентами кабель - 3 на 95 мм2, с алюминиевой жилой, с бумажной пропитанной изоляцией, алюминиевой оболочкой, наружный покров из битума и пряжи ААБлШв 3х95</t>
  </si>
  <si>
    <t>Силовой бронированный лентами кабель - 5 на 25 мм2, с алюминиевой жилой, изоляцией и защитным шлангом из ПВХ пониженной пожарной опасности АВБбШвнг-LS 5х25</t>
  </si>
  <si>
    <t xml:space="preserve">3м - проект.яч. №21 до т.А +         + 4м - от т. Г до КТПН№1                          </t>
  </si>
  <si>
    <t>29м - проект.яч. №1 до т.А +             2м - от т.В до КТПН №4 +           19м -  от т.В до КТПН №5 +               2*3м от т.Б до КТПН №3 +             14м - от ЩСН (техники) до оп.1</t>
  </si>
  <si>
    <t>7*0,4*0,9=2,52м³</t>
  </si>
  <si>
    <t>см. типовой пр. А5-92-13 7*0,4*0,15=0,42м³</t>
  </si>
  <si>
    <t>см. типовой пр. А5-92-15 7*1234шт/100т=117шт</t>
  </si>
  <si>
    <t>2,52-0,42*2=1,68м³</t>
  </si>
  <si>
    <t>70*0,3*0,9=18,90м³</t>
  </si>
  <si>
    <t>см. типовой пр. А5-92-13 70*0,3*0,15=3,15м³</t>
  </si>
  <si>
    <t>см. типовой пр. А5-92-15 70*834шт/100м=584шт</t>
  </si>
  <si>
    <t>18,90-3,15*2=12,60м³</t>
  </si>
  <si>
    <t>Длина траншеи шириной 1600мм, глубина 900мм</t>
  </si>
  <si>
    <t>3м - КТПН№1-ЦОД +                        3м - КТПН№2-ЦОД +                                   9м - КТПН№3-ЦОД +                        2м - КТПН№4-ЦОД +                           2м - КТПН№5-ЦОД +</t>
  </si>
  <si>
    <t>Рытье траншеи шириной 1600мм, глубина 900мм</t>
  </si>
  <si>
    <t>19*1,6*0,9=27,36м³</t>
  </si>
  <si>
    <t>Засыпка траншеи шириной 1600мм,  песком 150мм (устройство постели из песка)</t>
  </si>
  <si>
    <t>Засыпка траншеи шириной 1600мм, высотой 150мм песком</t>
  </si>
  <si>
    <t>Обратная засыпка траншеи шириной 1600мм землей</t>
  </si>
  <si>
    <t>Обратная засыпка траншеи  Т-2  землей</t>
  </si>
  <si>
    <t>Обратная засыпка траншеи Т-3 землей</t>
  </si>
  <si>
    <t xml:space="preserve">Обратная засыпка траншеи Т-4 землей </t>
  </si>
  <si>
    <t>15*4+15*2=90</t>
  </si>
  <si>
    <t>30*2=60шт</t>
  </si>
  <si>
    <t>19-6(трубы)</t>
  </si>
  <si>
    <t>19*1,6*0,15=4,56м³</t>
  </si>
  <si>
    <t>13*5417шт/100м=705шт</t>
  </si>
  <si>
    <t>27,36-4,56*2=18,24м³</t>
  </si>
  <si>
    <t>7.1</t>
  </si>
  <si>
    <t>7.2</t>
  </si>
  <si>
    <t>7.3</t>
  </si>
  <si>
    <t>7.4</t>
  </si>
  <si>
    <t>7.5</t>
  </si>
  <si>
    <t>7.6</t>
  </si>
  <si>
    <t>7.7</t>
  </si>
  <si>
    <t>7.8</t>
  </si>
  <si>
    <t>951+1869+468+117+584+705=4694</t>
  </si>
  <si>
    <t>(5,64+10,08+3,15+0,42+3,15+4,56)*2= 54,00 м³ Коэффициенты уплотнения: 1,15- учитывает уплотнение песчаных грунтов при транспортировке;	                    1,01 - учитывает потери при транспортировке на расстояние более 1 км. Итого общий объем песка 54,00*1,15*1,01=62,72м³</t>
  </si>
  <si>
    <t>40+30+2+60=132</t>
  </si>
  <si>
    <t>Расход на 1 уплотнение 3,14*(0,110/2)²*0,500-3,14*(0,045/2)²*0,500=0,004м³=4л                         Суммарный расход 4*132/45=12</t>
  </si>
  <si>
    <t>Строительная длина КЛ-0,4кВ от КТПН №1 до ЦОД</t>
  </si>
  <si>
    <t>2*15=30</t>
  </si>
  <si>
    <t>по 3м на 1 ввод</t>
  </si>
  <si>
    <t>15+30+45+45=135</t>
  </si>
  <si>
    <t>Строительная длина КЛ-0,4кВ от КТПН №2 до ЦОД</t>
  </si>
  <si>
    <t>(3-2труба)*15*1,02=15</t>
  </si>
  <si>
    <t>3*15*1,02=46</t>
  </si>
  <si>
    <t>46+45+45=136</t>
  </si>
  <si>
    <t>Кабеля ПуГВнг(A)-LS 1х240</t>
  </si>
  <si>
    <t>Строительная длина КЛ-0,4кВ от КТПН №3 до ЦОД</t>
  </si>
  <si>
    <t>4*15=60</t>
  </si>
  <si>
    <t>(9-4труба)*15*1,02=77</t>
  </si>
  <si>
    <t>77+60+45+45=227</t>
  </si>
  <si>
    <t>Строительная длина КЛ-0,4кВ от КТПН №4 до ЦОД</t>
  </si>
  <si>
    <t>2*15*1,02=31</t>
  </si>
  <si>
    <t>31+45+45=121</t>
  </si>
  <si>
    <t>Строительная длина КЛ-0,4кВ от КТПН №5 до ЦОД</t>
  </si>
  <si>
    <t>Расход кабеля ПуГВнг(A)-LS 1х240</t>
  </si>
  <si>
    <t>135+136+227+121+121=740</t>
  </si>
  <si>
    <t>ГОСТ 31947-2012</t>
  </si>
  <si>
    <t>Провод установосный гибкий с изоляцией и оболочкой из ПВХ пониженной пожарной опасности ПуГВнг(А)-LS 1х240</t>
  </si>
  <si>
    <t>Кабельный наконечник 240 мм2</t>
  </si>
  <si>
    <t>Т 240-16-24</t>
  </si>
  <si>
    <t>60+58+2+90=210м</t>
  </si>
  <si>
    <t>Укладка кирпича в траншею</t>
  </si>
  <si>
    <t>1.4.1.1</t>
  </si>
  <si>
    <t>1.4.1.2</t>
  </si>
  <si>
    <t>1.4.1.3</t>
  </si>
  <si>
    <t>1.4.1.4</t>
  </si>
  <si>
    <t>1.4.1.5</t>
  </si>
  <si>
    <t>1.4.1.6</t>
  </si>
  <si>
    <t>1.4.1.7</t>
  </si>
  <si>
    <t>1.4.1.8</t>
  </si>
  <si>
    <t>1.4.1.9</t>
  </si>
  <si>
    <t>1.4.5</t>
  </si>
  <si>
    <t>1.4.6</t>
  </si>
  <si>
    <t>1.4.7</t>
  </si>
  <si>
    <t>1.5.1</t>
  </si>
  <si>
    <t>1.5.2</t>
  </si>
  <si>
    <t>1.5.3</t>
  </si>
  <si>
    <t>1.5.4</t>
  </si>
  <si>
    <t>1.7</t>
  </si>
  <si>
    <t>379.14.04.22-ОЛ3</t>
  </si>
  <si>
    <t>Комплектная трансформаторная подстанция 6/0,4кВ мощностью 1250кВА</t>
  </si>
  <si>
    <t>Поставляется заказчиком</t>
  </si>
  <si>
    <t>Поставляется подрядчиком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</si>
</sst>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ISOCPEUR"/>
      <family val="2"/>
      <charset val="204"/>
    </font>
    <font>
      <sz val="11"/>
      <name val="ISOCPEUR"/>
      <family val="2"/>
      <charset val="204"/>
    </font>
    <font>
      <sz val="12"/>
      <color theme="1"/>
      <name val="ISOCPEUR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9" fontId="6" fillId="0" borderId="4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7" fillId="3" borderId="5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49" fontId="6" fillId="0" borderId="4" xfId="0" applyNumberFormat="1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5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7"/>
  <sheetViews>
    <sheetView zoomScale="115" zoomScaleNormal="115" workbookViewId="0">
      <selection activeCell="D324" sqref="D324"/>
    </sheetView>
  </sheetViews>
  <sheetFormatPr defaultColWidth="9" defaultRowHeight="15.75"/>
  <cols>
    <col min="1" max="1" width="8.42578125" style="36" customWidth="1"/>
    <col min="2" max="2" width="33.5703125" style="31" customWidth="1"/>
    <col min="3" max="3" width="7.5703125" style="36" customWidth="1"/>
    <col min="4" max="4" width="10.140625" style="36" customWidth="1"/>
    <col min="5" max="5" width="34" style="31" customWidth="1"/>
    <col min="6" max="6" width="11.28515625" style="31" bestFit="1" customWidth="1"/>
    <col min="7" max="7" width="41.85546875" style="31" customWidth="1"/>
    <col min="8" max="9" width="9" style="31"/>
    <col min="10" max="10" width="42.85546875" style="31" customWidth="1"/>
    <col min="11" max="16384" width="9" style="31"/>
  </cols>
  <sheetData>
    <row r="1" spans="1:5">
      <c r="A1" s="70" t="s">
        <v>5</v>
      </c>
      <c r="B1" s="70"/>
      <c r="C1" s="70"/>
      <c r="D1" s="70"/>
      <c r="E1" s="70"/>
    </row>
    <row r="2" spans="1:5" ht="78.75">
      <c r="A2" s="42" t="s">
        <v>0</v>
      </c>
      <c r="B2" s="1" t="s">
        <v>1</v>
      </c>
      <c r="C2" s="1" t="s">
        <v>2</v>
      </c>
      <c r="D2" s="1" t="s">
        <v>3</v>
      </c>
      <c r="E2" s="43" t="s">
        <v>4</v>
      </c>
    </row>
    <row r="3" spans="1:5">
      <c r="A3" s="42">
        <v>1</v>
      </c>
      <c r="B3" s="1">
        <v>2</v>
      </c>
      <c r="C3" s="1">
        <v>3</v>
      </c>
      <c r="D3" s="1">
        <v>4</v>
      </c>
      <c r="E3" s="43">
        <v>5</v>
      </c>
    </row>
    <row r="4" spans="1:5" ht="47.25">
      <c r="A4" s="44" t="s">
        <v>6</v>
      </c>
      <c r="B4" s="53" t="s">
        <v>393</v>
      </c>
      <c r="C4" s="39" t="s">
        <v>9</v>
      </c>
      <c r="D4" s="39">
        <v>2</v>
      </c>
      <c r="E4" s="52"/>
    </row>
    <row r="5" spans="1:5">
      <c r="A5" s="42">
        <v>1</v>
      </c>
      <c r="B5" s="54" t="s">
        <v>394</v>
      </c>
      <c r="C5" s="1" t="s">
        <v>9</v>
      </c>
      <c r="D5" s="1">
        <v>2</v>
      </c>
      <c r="E5" s="43"/>
    </row>
    <row r="6" spans="1:5" ht="31.5">
      <c r="A6" s="42">
        <v>2</v>
      </c>
      <c r="B6" s="54" t="s">
        <v>395</v>
      </c>
      <c r="C6" s="1" t="s">
        <v>9</v>
      </c>
      <c r="D6" s="1">
        <v>6</v>
      </c>
      <c r="E6" s="43"/>
    </row>
    <row r="7" spans="1:5" ht="47.25">
      <c r="A7" s="42">
        <v>3</v>
      </c>
      <c r="B7" s="54" t="s">
        <v>396</v>
      </c>
      <c r="C7" s="1" t="s">
        <v>9</v>
      </c>
      <c r="D7" s="1">
        <v>2</v>
      </c>
      <c r="E7" s="43"/>
    </row>
    <row r="8" spans="1:5">
      <c r="A8" s="42">
        <v>4</v>
      </c>
      <c r="B8" s="32" t="s">
        <v>29</v>
      </c>
      <c r="C8" s="1"/>
      <c r="D8" s="1"/>
      <c r="E8" s="43"/>
    </row>
    <row r="9" spans="1:5" ht="31.5">
      <c r="A9" s="47" t="s">
        <v>89</v>
      </c>
      <c r="B9" s="54" t="s">
        <v>397</v>
      </c>
      <c r="C9" s="1" t="s">
        <v>420</v>
      </c>
      <c r="D9" s="1">
        <f>3*2</f>
        <v>6</v>
      </c>
      <c r="E9" s="43"/>
    </row>
    <row r="10" spans="1:5" ht="47.25">
      <c r="A10" s="47" t="s">
        <v>91</v>
      </c>
      <c r="B10" s="54" t="s">
        <v>398</v>
      </c>
      <c r="C10" s="1" t="s">
        <v>31</v>
      </c>
      <c r="D10" s="1">
        <f>2*2</f>
        <v>4</v>
      </c>
      <c r="E10" s="43"/>
    </row>
    <row r="11" spans="1:5" ht="47.25">
      <c r="A11" s="47" t="s">
        <v>93</v>
      </c>
      <c r="B11" s="54" t="s">
        <v>399</v>
      </c>
      <c r="C11" s="1" t="s">
        <v>31</v>
      </c>
      <c r="D11" s="1">
        <f>2*2</f>
        <v>4</v>
      </c>
      <c r="E11" s="43"/>
    </row>
    <row r="12" spans="1:5" ht="47.25">
      <c r="A12" s="47" t="s">
        <v>95</v>
      </c>
      <c r="B12" s="54" t="s">
        <v>400</v>
      </c>
      <c r="C12" s="1" t="s">
        <v>31</v>
      </c>
      <c r="D12" s="1">
        <f>3*2</f>
        <v>6</v>
      </c>
      <c r="E12" s="43"/>
    </row>
    <row r="13" spans="1:5" ht="63">
      <c r="A13" s="47" t="s">
        <v>96</v>
      </c>
      <c r="B13" s="54" t="s">
        <v>401</v>
      </c>
      <c r="C13" s="1" t="s">
        <v>421</v>
      </c>
      <c r="D13" s="1">
        <f>2*2</f>
        <v>4</v>
      </c>
      <c r="E13" s="43"/>
    </row>
    <row r="14" spans="1:5" ht="31.5">
      <c r="A14" s="47" t="s">
        <v>99</v>
      </c>
      <c r="B14" s="54" t="s">
        <v>402</v>
      </c>
      <c r="C14" s="1" t="s">
        <v>31</v>
      </c>
      <c r="D14" s="1">
        <f t="shared" ref="D14:D19" si="0">1*2</f>
        <v>2</v>
      </c>
      <c r="E14" s="43"/>
    </row>
    <row r="15" spans="1:5" ht="63">
      <c r="A15" s="47" t="s">
        <v>101</v>
      </c>
      <c r="B15" s="54" t="s">
        <v>411</v>
      </c>
      <c r="C15" s="1" t="s">
        <v>9</v>
      </c>
      <c r="D15" s="1">
        <f t="shared" si="0"/>
        <v>2</v>
      </c>
      <c r="E15" s="43"/>
    </row>
    <row r="16" spans="1:5" ht="78.75">
      <c r="A16" s="47" t="s">
        <v>403</v>
      </c>
      <c r="B16" s="54" t="s">
        <v>412</v>
      </c>
      <c r="C16" s="1" t="s">
        <v>9</v>
      </c>
      <c r="D16" s="1">
        <f t="shared" si="0"/>
        <v>2</v>
      </c>
      <c r="E16" s="43"/>
    </row>
    <row r="17" spans="1:5" ht="47.25">
      <c r="A17" s="47" t="s">
        <v>404</v>
      </c>
      <c r="B17" s="54" t="s">
        <v>413</v>
      </c>
      <c r="C17" s="1" t="s">
        <v>9</v>
      </c>
      <c r="D17" s="1">
        <f t="shared" si="0"/>
        <v>2</v>
      </c>
      <c r="E17" s="43"/>
    </row>
    <row r="18" spans="1:5">
      <c r="A18" s="47" t="s">
        <v>405</v>
      </c>
      <c r="B18" s="54" t="s">
        <v>414</v>
      </c>
      <c r="C18" s="1" t="s">
        <v>9</v>
      </c>
      <c r="D18" s="1">
        <f t="shared" si="0"/>
        <v>2</v>
      </c>
      <c r="E18" s="43"/>
    </row>
    <row r="19" spans="1:5" ht="31.5">
      <c r="A19" s="47" t="s">
        <v>406</v>
      </c>
      <c r="B19" s="54" t="s">
        <v>415</v>
      </c>
      <c r="C19" s="1" t="s">
        <v>9</v>
      </c>
      <c r="D19" s="1">
        <f t="shared" si="0"/>
        <v>2</v>
      </c>
      <c r="E19" s="43"/>
    </row>
    <row r="20" spans="1:5" ht="47.25">
      <c r="A20" s="47" t="s">
        <v>407</v>
      </c>
      <c r="B20" s="54" t="s">
        <v>416</v>
      </c>
      <c r="C20" s="1" t="s">
        <v>9</v>
      </c>
      <c r="D20" s="1">
        <f>5*2</f>
        <v>10</v>
      </c>
      <c r="E20" s="43"/>
    </row>
    <row r="21" spans="1:5" ht="47.25">
      <c r="A21" s="47" t="s">
        <v>408</v>
      </c>
      <c r="B21" s="54" t="s">
        <v>417</v>
      </c>
      <c r="C21" s="1" t="s">
        <v>9</v>
      </c>
      <c r="D21" s="1">
        <f>3*2</f>
        <v>6</v>
      </c>
      <c r="E21" s="43"/>
    </row>
    <row r="22" spans="1:5" ht="39" customHeight="1">
      <c r="A22" s="47" t="s">
        <v>409</v>
      </c>
      <c r="B22" s="54" t="s">
        <v>418</v>
      </c>
      <c r="C22" s="1" t="s">
        <v>9</v>
      </c>
      <c r="D22" s="1">
        <f>1*2</f>
        <v>2</v>
      </c>
      <c r="E22" s="43"/>
    </row>
    <row r="23" spans="1:5" ht="47.25">
      <c r="A23" s="47" t="s">
        <v>410</v>
      </c>
      <c r="B23" s="54" t="s">
        <v>419</v>
      </c>
      <c r="C23" s="1" t="s">
        <v>9</v>
      </c>
      <c r="D23" s="1">
        <f>1*2</f>
        <v>2</v>
      </c>
      <c r="E23" s="43"/>
    </row>
    <row r="24" spans="1:5" ht="31.5">
      <c r="A24" s="68" t="s">
        <v>125</v>
      </c>
      <c r="B24" s="53" t="s">
        <v>470</v>
      </c>
      <c r="C24" s="39"/>
      <c r="D24" s="39"/>
      <c r="E24" s="52"/>
    </row>
    <row r="25" spans="1:5" ht="78.75">
      <c r="A25" s="47" t="s">
        <v>276</v>
      </c>
      <c r="B25" s="54" t="s">
        <v>471</v>
      </c>
      <c r="C25" s="1" t="s">
        <v>7</v>
      </c>
      <c r="D25" s="1">
        <f>D26+D35+D42+D51+D58</f>
        <v>278</v>
      </c>
      <c r="E25" s="43" t="s">
        <v>511</v>
      </c>
    </row>
    <row r="26" spans="1:5" ht="31.5">
      <c r="A26" s="47" t="s">
        <v>189</v>
      </c>
      <c r="B26" s="29" t="s">
        <v>472</v>
      </c>
      <c r="C26" s="1" t="s">
        <v>7</v>
      </c>
      <c r="D26" s="1">
        <f>38+9</f>
        <v>47</v>
      </c>
      <c r="E26" s="48" t="s">
        <v>487</v>
      </c>
    </row>
    <row r="27" spans="1:5" ht="31.5">
      <c r="A27" s="47" t="s">
        <v>22</v>
      </c>
      <c r="B27" s="26" t="s">
        <v>473</v>
      </c>
      <c r="C27" s="27" t="s">
        <v>8</v>
      </c>
      <c r="D27" s="28">
        <f>ROUND(D26*0.9*0.8,2)</f>
        <v>33.840000000000003</v>
      </c>
      <c r="E27" s="49" t="s">
        <v>488</v>
      </c>
    </row>
    <row r="28" spans="1:5" ht="47.25">
      <c r="A28" s="47" t="s">
        <v>23</v>
      </c>
      <c r="B28" s="26" t="s">
        <v>474</v>
      </c>
      <c r="C28" s="27" t="s">
        <v>8</v>
      </c>
      <c r="D28" s="28">
        <f>ROUND(D26*0.15*0.8,2)</f>
        <v>5.64</v>
      </c>
      <c r="E28" s="49" t="s">
        <v>489</v>
      </c>
    </row>
    <row r="29" spans="1:5" ht="31.5">
      <c r="A29" s="47" t="s">
        <v>24</v>
      </c>
      <c r="B29" s="55" t="s">
        <v>56</v>
      </c>
      <c r="C29" s="56" t="s">
        <v>7</v>
      </c>
      <c r="D29" s="56">
        <f>8*3+6*2+6*4</f>
        <v>60</v>
      </c>
      <c r="E29" s="49" t="s">
        <v>478</v>
      </c>
    </row>
    <row r="30" spans="1:5">
      <c r="A30" s="47" t="s">
        <v>25</v>
      </c>
      <c r="B30" s="55" t="s">
        <v>13</v>
      </c>
      <c r="C30" s="56" t="s">
        <v>9</v>
      </c>
      <c r="D30" s="56">
        <f>(8+6+6)*2</f>
        <v>40</v>
      </c>
      <c r="E30" s="49" t="s">
        <v>479</v>
      </c>
    </row>
    <row r="31" spans="1:5" ht="31.5">
      <c r="A31" s="47" t="s">
        <v>78</v>
      </c>
      <c r="B31" s="26" t="s">
        <v>475</v>
      </c>
      <c r="C31" s="27" t="s">
        <v>8</v>
      </c>
      <c r="D31" s="28">
        <f>D28</f>
        <v>5.64</v>
      </c>
      <c r="E31" s="49" t="s">
        <v>489</v>
      </c>
    </row>
    <row r="32" spans="1:5">
      <c r="A32" s="47" t="s">
        <v>79</v>
      </c>
      <c r="B32" s="26" t="s">
        <v>15</v>
      </c>
      <c r="C32" s="27" t="s">
        <v>7</v>
      </c>
      <c r="D32" s="27">
        <f>D26-(3+2+4)</f>
        <v>38</v>
      </c>
      <c r="E32" s="49" t="s">
        <v>490</v>
      </c>
    </row>
    <row r="33" spans="1:5" ht="31.5">
      <c r="A33" s="47" t="s">
        <v>119</v>
      </c>
      <c r="B33" s="26" t="s">
        <v>476</v>
      </c>
      <c r="C33" s="27" t="s">
        <v>9</v>
      </c>
      <c r="D33" s="27">
        <f>ROUNDUP(D32*25.02,0)</f>
        <v>951</v>
      </c>
      <c r="E33" s="49" t="s">
        <v>492</v>
      </c>
    </row>
    <row r="34" spans="1:5" ht="31.5">
      <c r="A34" s="47" t="s">
        <v>120</v>
      </c>
      <c r="B34" s="26" t="s">
        <v>477</v>
      </c>
      <c r="C34" s="27" t="s">
        <v>8</v>
      </c>
      <c r="D34" s="28">
        <f>ROUND(D27-D28*2,2)</f>
        <v>22.56</v>
      </c>
      <c r="E34" s="49" t="s">
        <v>491</v>
      </c>
    </row>
    <row r="35" spans="1:5">
      <c r="A35" s="47" t="s">
        <v>34</v>
      </c>
      <c r="B35" s="29" t="s">
        <v>427</v>
      </c>
      <c r="C35" s="1" t="s">
        <v>7</v>
      </c>
      <c r="D35" s="1">
        <v>112</v>
      </c>
      <c r="E35" s="48" t="s">
        <v>482</v>
      </c>
    </row>
    <row r="36" spans="1:5" ht="31.5">
      <c r="A36" s="47" t="s">
        <v>35</v>
      </c>
      <c r="B36" s="26" t="s">
        <v>428</v>
      </c>
      <c r="C36" s="27" t="s">
        <v>8</v>
      </c>
      <c r="D36" s="28">
        <f>ROUND(D35*0.9*0.6,2)</f>
        <v>60.48</v>
      </c>
      <c r="E36" s="49" t="s">
        <v>483</v>
      </c>
    </row>
    <row r="37" spans="1:5" ht="47.25">
      <c r="A37" s="47" t="s">
        <v>36</v>
      </c>
      <c r="B37" s="26" t="s">
        <v>429</v>
      </c>
      <c r="C37" s="27" t="s">
        <v>8</v>
      </c>
      <c r="D37" s="28">
        <f>ROUND(D35*0.15*0.6,2)</f>
        <v>10.08</v>
      </c>
      <c r="E37" s="49" t="s">
        <v>484</v>
      </c>
    </row>
    <row r="38" spans="1:5" ht="31.5">
      <c r="A38" s="47" t="s">
        <v>39</v>
      </c>
      <c r="B38" s="26" t="s">
        <v>430</v>
      </c>
      <c r="C38" s="27" t="s">
        <v>8</v>
      </c>
      <c r="D38" s="28">
        <f>D37</f>
        <v>10.08</v>
      </c>
      <c r="E38" s="49" t="s">
        <v>484</v>
      </c>
    </row>
    <row r="39" spans="1:5">
      <c r="A39" s="47" t="s">
        <v>81</v>
      </c>
      <c r="B39" s="26" t="s">
        <v>15</v>
      </c>
      <c r="C39" s="27" t="s">
        <v>7</v>
      </c>
      <c r="D39" s="27">
        <f>D35</f>
        <v>112</v>
      </c>
      <c r="E39" s="49"/>
    </row>
    <row r="40" spans="1:5" ht="31.5">
      <c r="A40" s="47" t="s">
        <v>82</v>
      </c>
      <c r="B40" s="26" t="s">
        <v>480</v>
      </c>
      <c r="C40" s="27" t="s">
        <v>9</v>
      </c>
      <c r="D40" s="27">
        <f>ROUNDUP(D39*16.68,0)</f>
        <v>1869</v>
      </c>
      <c r="E40" s="49" t="s">
        <v>485</v>
      </c>
    </row>
    <row r="41" spans="1:5" ht="31.5">
      <c r="A41" s="47" t="s">
        <v>83</v>
      </c>
      <c r="B41" s="26" t="s">
        <v>481</v>
      </c>
      <c r="C41" s="27" t="s">
        <v>8</v>
      </c>
      <c r="D41" s="28">
        <f>ROUND(D36-D37*2,2)</f>
        <v>40.32</v>
      </c>
      <c r="E41" s="49" t="s">
        <v>486</v>
      </c>
    </row>
    <row r="42" spans="1:5" ht="31.5">
      <c r="A42" s="47" t="s">
        <v>122</v>
      </c>
      <c r="B42" s="29" t="s">
        <v>426</v>
      </c>
      <c r="C42" s="1" t="s">
        <v>7</v>
      </c>
      <c r="D42" s="1">
        <f>40+2</f>
        <v>42</v>
      </c>
      <c r="E42" s="48" t="s">
        <v>493</v>
      </c>
    </row>
    <row r="43" spans="1:5" ht="31.5">
      <c r="A43" s="47" t="s">
        <v>89</v>
      </c>
      <c r="B43" s="26" t="s">
        <v>422</v>
      </c>
      <c r="C43" s="27" t="s">
        <v>8</v>
      </c>
      <c r="D43" s="28">
        <f>ROUND(D42*0.9*0.5,2)</f>
        <v>18.899999999999999</v>
      </c>
      <c r="E43" s="49" t="s">
        <v>499</v>
      </c>
    </row>
    <row r="44" spans="1:5" ht="47.25">
      <c r="A44" s="47" t="s">
        <v>91</v>
      </c>
      <c r="B44" s="26" t="s">
        <v>423</v>
      </c>
      <c r="C44" s="27" t="s">
        <v>8</v>
      </c>
      <c r="D44" s="28">
        <f>ROUND(D42*0.15*0.5,2)</f>
        <v>3.15</v>
      </c>
      <c r="E44" s="49" t="s">
        <v>496</v>
      </c>
    </row>
    <row r="45" spans="1:5" ht="31.5">
      <c r="A45" s="47" t="s">
        <v>93</v>
      </c>
      <c r="B45" s="55" t="s">
        <v>56</v>
      </c>
      <c r="C45" s="56" t="s">
        <v>7</v>
      </c>
      <c r="D45" s="56">
        <f>3*2+4*4+4*5+4*4</f>
        <v>58</v>
      </c>
      <c r="E45" s="49" t="s">
        <v>494</v>
      </c>
    </row>
    <row r="46" spans="1:5">
      <c r="A46" s="47" t="s">
        <v>96</v>
      </c>
      <c r="B46" s="55" t="s">
        <v>13</v>
      </c>
      <c r="C46" s="56" t="s">
        <v>9</v>
      </c>
      <c r="D46" s="56">
        <f>(3+4+4+4)*2</f>
        <v>30</v>
      </c>
      <c r="E46" s="49" t="s">
        <v>495</v>
      </c>
    </row>
    <row r="47" spans="1:5" ht="31.5">
      <c r="A47" s="47" t="s">
        <v>101</v>
      </c>
      <c r="B47" s="26" t="s">
        <v>424</v>
      </c>
      <c r="C47" s="27" t="s">
        <v>8</v>
      </c>
      <c r="D47" s="28">
        <f>D44</f>
        <v>3.15</v>
      </c>
      <c r="E47" s="49" t="s">
        <v>496</v>
      </c>
    </row>
    <row r="48" spans="1:5">
      <c r="A48" s="47" t="s">
        <v>403</v>
      </c>
      <c r="B48" s="26" t="s">
        <v>15</v>
      </c>
      <c r="C48" s="27" t="s">
        <v>7</v>
      </c>
      <c r="D48" s="27">
        <f>D42-(2+4+4+4)</f>
        <v>28</v>
      </c>
      <c r="E48" s="49" t="s">
        <v>497</v>
      </c>
    </row>
    <row r="49" spans="1:7" ht="31.5">
      <c r="A49" s="47" t="s">
        <v>404</v>
      </c>
      <c r="B49" s="26" t="s">
        <v>425</v>
      </c>
      <c r="C49" s="27" t="s">
        <v>9</v>
      </c>
      <c r="D49" s="27">
        <f>ROUNDUP(D48*16.68,0)</f>
        <v>468</v>
      </c>
      <c r="E49" s="49" t="s">
        <v>505</v>
      </c>
    </row>
    <row r="50" spans="1:7" ht="31.5">
      <c r="A50" s="47" t="s">
        <v>405</v>
      </c>
      <c r="B50" s="26" t="s">
        <v>635</v>
      </c>
      <c r="C50" s="27" t="s">
        <v>8</v>
      </c>
      <c r="D50" s="28">
        <f>ROUND(D43-D44*2,2)</f>
        <v>12.6</v>
      </c>
      <c r="E50" s="49" t="s">
        <v>498</v>
      </c>
    </row>
    <row r="51" spans="1:7" ht="31.5">
      <c r="A51" s="47" t="s">
        <v>45</v>
      </c>
      <c r="B51" s="29" t="s">
        <v>500</v>
      </c>
      <c r="C51" s="1" t="s">
        <v>7</v>
      </c>
      <c r="D51" s="1">
        <f>4+3</f>
        <v>7</v>
      </c>
      <c r="E51" s="48" t="s">
        <v>616</v>
      </c>
      <c r="G51" s="48"/>
    </row>
    <row r="52" spans="1:7" ht="31.5">
      <c r="A52" s="47" t="s">
        <v>46</v>
      </c>
      <c r="B52" s="26" t="s">
        <v>501</v>
      </c>
      <c r="C52" s="27" t="s">
        <v>8</v>
      </c>
      <c r="D52" s="28">
        <f>ROUND(D51*0.9*0.4,2)</f>
        <v>2.52</v>
      </c>
      <c r="E52" s="49" t="s">
        <v>618</v>
      </c>
    </row>
    <row r="53" spans="1:7" ht="47.25">
      <c r="A53" s="47" t="s">
        <v>47</v>
      </c>
      <c r="B53" s="26" t="s">
        <v>502</v>
      </c>
      <c r="C53" s="27" t="s">
        <v>8</v>
      </c>
      <c r="D53" s="28">
        <f>ROUND(D51*0.15*0.4,2)</f>
        <v>0.42</v>
      </c>
      <c r="E53" s="49" t="s">
        <v>619</v>
      </c>
    </row>
    <row r="54" spans="1:7" ht="31.5">
      <c r="A54" s="47" t="s">
        <v>48</v>
      </c>
      <c r="B54" s="26" t="s">
        <v>503</v>
      </c>
      <c r="C54" s="27" t="s">
        <v>8</v>
      </c>
      <c r="D54" s="28">
        <f>D53</f>
        <v>0.42</v>
      </c>
      <c r="E54" s="49" t="s">
        <v>619</v>
      </c>
    </row>
    <row r="55" spans="1:7">
      <c r="A55" s="47" t="s">
        <v>49</v>
      </c>
      <c r="B55" s="26" t="s">
        <v>15</v>
      </c>
      <c r="C55" s="27" t="s">
        <v>7</v>
      </c>
      <c r="D55" s="27">
        <f>D51</f>
        <v>7</v>
      </c>
      <c r="E55" s="49"/>
    </row>
    <row r="56" spans="1:7" ht="31.5">
      <c r="A56" s="47" t="s">
        <v>50</v>
      </c>
      <c r="B56" s="26" t="s">
        <v>504</v>
      </c>
      <c r="C56" s="27" t="s">
        <v>9</v>
      </c>
      <c r="D56" s="27">
        <f>ROUNDUP(D55*16.68,0)</f>
        <v>117</v>
      </c>
      <c r="E56" s="49" t="s">
        <v>620</v>
      </c>
    </row>
    <row r="57" spans="1:7" ht="31.5">
      <c r="A57" s="47" t="s">
        <v>51</v>
      </c>
      <c r="B57" s="26" t="s">
        <v>634</v>
      </c>
      <c r="C57" s="27" t="s">
        <v>8</v>
      </c>
      <c r="D57" s="28">
        <f>ROUND(D52-D53*2,2)</f>
        <v>1.68</v>
      </c>
      <c r="E57" s="49" t="s">
        <v>621</v>
      </c>
    </row>
    <row r="58" spans="1:7" ht="78.75">
      <c r="A58" s="47" t="s">
        <v>52</v>
      </c>
      <c r="B58" s="29" t="s">
        <v>506</v>
      </c>
      <c r="C58" s="1" t="s">
        <v>7</v>
      </c>
      <c r="D58" s="1">
        <f>29+2+19+6+14</f>
        <v>70</v>
      </c>
      <c r="E58" s="48" t="s">
        <v>617</v>
      </c>
    </row>
    <row r="59" spans="1:7" ht="31.5">
      <c r="A59" s="47" t="s">
        <v>378</v>
      </c>
      <c r="B59" s="26" t="s">
        <v>11</v>
      </c>
      <c r="C59" s="27" t="s">
        <v>8</v>
      </c>
      <c r="D59" s="28">
        <f>ROUND(D58*0.9*0.3,2)</f>
        <v>18.899999999999999</v>
      </c>
      <c r="E59" s="49" t="s">
        <v>622</v>
      </c>
    </row>
    <row r="60" spans="1:7" ht="47.25">
      <c r="A60" s="47" t="s">
        <v>379</v>
      </c>
      <c r="B60" s="26" t="s">
        <v>16</v>
      </c>
      <c r="C60" s="27" t="s">
        <v>8</v>
      </c>
      <c r="D60" s="28">
        <f>ROUND(D58*0.15*0.3,2)</f>
        <v>3.15</v>
      </c>
      <c r="E60" s="49" t="s">
        <v>623</v>
      </c>
    </row>
    <row r="61" spans="1:7" ht="31.5">
      <c r="A61" s="47" t="s">
        <v>380</v>
      </c>
      <c r="B61" s="55" t="s">
        <v>56</v>
      </c>
      <c r="C61" s="56" t="s">
        <v>7</v>
      </c>
      <c r="D61" s="56">
        <v>2</v>
      </c>
      <c r="E61" s="49" t="s">
        <v>508</v>
      </c>
    </row>
    <row r="62" spans="1:7">
      <c r="A62" s="47" t="s">
        <v>381</v>
      </c>
      <c r="B62" s="55" t="s">
        <v>13</v>
      </c>
      <c r="C62" s="56" t="s">
        <v>9</v>
      </c>
      <c r="D62" s="56">
        <v>2</v>
      </c>
      <c r="E62" s="49" t="s">
        <v>509</v>
      </c>
    </row>
    <row r="63" spans="1:7" ht="31.5">
      <c r="A63" s="47" t="s">
        <v>382</v>
      </c>
      <c r="B63" s="26" t="s">
        <v>14</v>
      </c>
      <c r="C63" s="27" t="s">
        <v>8</v>
      </c>
      <c r="D63" s="28">
        <f>D60</f>
        <v>3.15</v>
      </c>
      <c r="E63" s="49" t="s">
        <v>623</v>
      </c>
    </row>
    <row r="64" spans="1:7">
      <c r="A64" s="47" t="s">
        <v>467</v>
      </c>
      <c r="B64" s="26" t="s">
        <v>15</v>
      </c>
      <c r="C64" s="27" t="s">
        <v>7</v>
      </c>
      <c r="D64" s="27">
        <f>D58</f>
        <v>70</v>
      </c>
      <c r="E64" s="49"/>
    </row>
    <row r="65" spans="1:5" ht="31.5">
      <c r="A65" s="47" t="s">
        <v>468</v>
      </c>
      <c r="B65" s="26" t="s">
        <v>507</v>
      </c>
      <c r="C65" s="27" t="s">
        <v>9</v>
      </c>
      <c r="D65" s="27">
        <f>ROUNDUP(D64*8.34,0)</f>
        <v>584</v>
      </c>
      <c r="E65" s="49" t="s">
        <v>624</v>
      </c>
    </row>
    <row r="66" spans="1:5" ht="31.5">
      <c r="A66" s="47" t="s">
        <v>510</v>
      </c>
      <c r="B66" s="26" t="s">
        <v>633</v>
      </c>
      <c r="C66" s="27" t="s">
        <v>8</v>
      </c>
      <c r="D66" s="28">
        <f>ROUND(D59-D60*2,2)</f>
        <v>12.6</v>
      </c>
      <c r="E66" s="49" t="s">
        <v>625</v>
      </c>
    </row>
    <row r="67" spans="1:5" ht="78.75">
      <c r="A67" s="47" t="s">
        <v>53</v>
      </c>
      <c r="B67" s="29" t="s">
        <v>626</v>
      </c>
      <c r="C67" s="1" t="s">
        <v>7</v>
      </c>
      <c r="D67" s="1">
        <f>3+3+9+2+2</f>
        <v>19</v>
      </c>
      <c r="E67" s="48" t="s">
        <v>627</v>
      </c>
    </row>
    <row r="68" spans="1:5" ht="31.5">
      <c r="A68" s="47" t="s">
        <v>642</v>
      </c>
      <c r="B68" s="26" t="s">
        <v>628</v>
      </c>
      <c r="C68" s="27" t="s">
        <v>8</v>
      </c>
      <c r="D68" s="28">
        <f>ROUND(D67*0.9*1.6,2)</f>
        <v>27.36</v>
      </c>
      <c r="E68" s="49" t="s">
        <v>629</v>
      </c>
    </row>
    <row r="69" spans="1:5" ht="47.25">
      <c r="A69" s="47" t="s">
        <v>643</v>
      </c>
      <c r="B69" s="26" t="s">
        <v>630</v>
      </c>
      <c r="C69" s="27" t="s">
        <v>8</v>
      </c>
      <c r="D69" s="28">
        <f>ROUND(D67*0.15*1.6,2)</f>
        <v>4.5599999999999996</v>
      </c>
      <c r="E69" s="49" t="s">
        <v>639</v>
      </c>
    </row>
    <row r="70" spans="1:5" ht="31.5">
      <c r="A70" s="47" t="s">
        <v>644</v>
      </c>
      <c r="B70" s="55" t="s">
        <v>56</v>
      </c>
      <c r="C70" s="56" t="s">
        <v>7</v>
      </c>
      <c r="D70" s="56">
        <f>15*4+15*2</f>
        <v>90</v>
      </c>
      <c r="E70" s="49" t="s">
        <v>636</v>
      </c>
    </row>
    <row r="71" spans="1:5">
      <c r="A71" s="47" t="s">
        <v>645</v>
      </c>
      <c r="B71" s="55" t="s">
        <v>13</v>
      </c>
      <c r="C71" s="56" t="s">
        <v>9</v>
      </c>
      <c r="D71" s="56">
        <f>15*2*2</f>
        <v>60</v>
      </c>
      <c r="E71" s="49" t="s">
        <v>637</v>
      </c>
    </row>
    <row r="72" spans="1:5" ht="31.5">
      <c r="A72" s="47" t="s">
        <v>646</v>
      </c>
      <c r="B72" s="26" t="s">
        <v>631</v>
      </c>
      <c r="C72" s="27" t="s">
        <v>8</v>
      </c>
      <c r="D72" s="28">
        <f>D69</f>
        <v>4.5599999999999996</v>
      </c>
      <c r="E72" s="49" t="s">
        <v>639</v>
      </c>
    </row>
    <row r="73" spans="1:5">
      <c r="A73" s="47" t="s">
        <v>647</v>
      </c>
      <c r="B73" s="26" t="s">
        <v>15</v>
      </c>
      <c r="C73" s="27" t="s">
        <v>7</v>
      </c>
      <c r="D73" s="27">
        <f>D67-D70/15</f>
        <v>13</v>
      </c>
      <c r="E73" s="49" t="s">
        <v>638</v>
      </c>
    </row>
    <row r="74" spans="1:5">
      <c r="A74" s="47" t="s">
        <v>648</v>
      </c>
      <c r="B74" s="26" t="s">
        <v>678</v>
      </c>
      <c r="C74" s="27" t="s">
        <v>9</v>
      </c>
      <c r="D74" s="27">
        <f>ROUNDUP(D73*54.17,0)</f>
        <v>705</v>
      </c>
      <c r="E74" s="49" t="s">
        <v>640</v>
      </c>
    </row>
    <row r="75" spans="1:5" ht="31.5">
      <c r="A75" s="47" t="s">
        <v>649</v>
      </c>
      <c r="B75" s="26" t="s">
        <v>632</v>
      </c>
      <c r="C75" s="27" t="s">
        <v>8</v>
      </c>
      <c r="D75" s="28">
        <f>ROUND(D68-D69*2,2)</f>
        <v>18.239999999999998</v>
      </c>
      <c r="E75" s="49" t="s">
        <v>641</v>
      </c>
    </row>
    <row r="76" spans="1:5" ht="141.75">
      <c r="A76" s="47" t="s">
        <v>53</v>
      </c>
      <c r="B76" s="26" t="s">
        <v>26</v>
      </c>
      <c r="C76" s="27" t="s">
        <v>8</v>
      </c>
      <c r="D76" s="28">
        <f>((D28+D37+D44+D53+D60+D69)*2)*1.15*1.01</f>
        <v>62.720999999999989</v>
      </c>
      <c r="E76" s="67" t="s">
        <v>651</v>
      </c>
    </row>
    <row r="77" spans="1:5" ht="31.5">
      <c r="A77" s="47" t="s">
        <v>512</v>
      </c>
      <c r="B77" s="26" t="s">
        <v>27</v>
      </c>
      <c r="C77" s="27" t="s">
        <v>9</v>
      </c>
      <c r="D77" s="27">
        <f>D33+D40+D49+D56+D65+D74</f>
        <v>4694</v>
      </c>
      <c r="E77" s="43" t="s">
        <v>650</v>
      </c>
    </row>
    <row r="78" spans="1:5" ht="31.5">
      <c r="A78" s="47" t="s">
        <v>513</v>
      </c>
      <c r="B78" s="29" t="s">
        <v>60</v>
      </c>
      <c r="C78" s="27" t="s">
        <v>7</v>
      </c>
      <c r="D78" s="30">
        <f>D29+D45+D61+D70</f>
        <v>210</v>
      </c>
      <c r="E78" s="43" t="s">
        <v>677</v>
      </c>
    </row>
    <row r="79" spans="1:5">
      <c r="A79" s="47" t="s">
        <v>514</v>
      </c>
      <c r="B79" s="29" t="s">
        <v>13</v>
      </c>
      <c r="C79" s="27" t="s">
        <v>9</v>
      </c>
      <c r="D79" s="30">
        <f>D30+D46+D62+D71</f>
        <v>132</v>
      </c>
      <c r="E79" s="43" t="s">
        <v>652</v>
      </c>
    </row>
    <row r="80" spans="1:5" ht="78.75">
      <c r="A80" s="47" t="s">
        <v>515</v>
      </c>
      <c r="B80" s="29" t="s">
        <v>55</v>
      </c>
      <c r="C80" s="27" t="s">
        <v>28</v>
      </c>
      <c r="D80" s="27">
        <f>ROUND(4*D79/45,0)</f>
        <v>12</v>
      </c>
      <c r="E80" s="43" t="s">
        <v>653</v>
      </c>
    </row>
    <row r="81" spans="1:5">
      <c r="A81" s="44" t="s">
        <v>277</v>
      </c>
      <c r="B81" s="38" t="s">
        <v>517</v>
      </c>
      <c r="C81" s="39"/>
      <c r="D81" s="39"/>
      <c r="E81" s="45"/>
    </row>
    <row r="82" spans="1:5" ht="63">
      <c r="A82" s="42">
        <v>1</v>
      </c>
      <c r="B82" s="29" t="s">
        <v>516</v>
      </c>
      <c r="C82" s="1" t="s">
        <v>7</v>
      </c>
      <c r="D82" s="1">
        <f>29+112+38+4</f>
        <v>183</v>
      </c>
      <c r="E82" s="48" t="s">
        <v>518</v>
      </c>
    </row>
    <row r="83" spans="1:5">
      <c r="A83" s="50" t="s">
        <v>17</v>
      </c>
      <c r="B83" s="26" t="s">
        <v>520</v>
      </c>
      <c r="C83" s="27" t="s">
        <v>7</v>
      </c>
      <c r="D83" s="27">
        <f>SUM(D84:D87)</f>
        <v>207</v>
      </c>
      <c r="E83" s="49" t="s">
        <v>528</v>
      </c>
    </row>
    <row r="84" spans="1:5" ht="31.5">
      <c r="A84" s="50" t="s">
        <v>522</v>
      </c>
      <c r="B84" s="26" t="s">
        <v>20</v>
      </c>
      <c r="C84" s="27" t="s">
        <v>7</v>
      </c>
      <c r="D84" s="27">
        <f>ROUND((D82-D85)*1.02,0)</f>
        <v>180</v>
      </c>
      <c r="E84" s="49" t="s">
        <v>521</v>
      </c>
    </row>
    <row r="85" spans="1:5">
      <c r="A85" s="50" t="s">
        <v>523</v>
      </c>
      <c r="B85" s="26" t="s">
        <v>21</v>
      </c>
      <c r="C85" s="27" t="s">
        <v>7</v>
      </c>
      <c r="D85" s="27">
        <f>3+4</f>
        <v>7</v>
      </c>
      <c r="E85" s="43"/>
    </row>
    <row r="86" spans="1:5">
      <c r="A86" s="50" t="s">
        <v>524</v>
      </c>
      <c r="B86" s="26" t="s">
        <v>57</v>
      </c>
      <c r="C86" s="27" t="s">
        <v>7</v>
      </c>
      <c r="D86" s="27">
        <v>10</v>
      </c>
      <c r="E86" s="49"/>
    </row>
    <row r="87" spans="1:5">
      <c r="A87" s="50" t="s">
        <v>525</v>
      </c>
      <c r="B87" s="26" t="s">
        <v>58</v>
      </c>
      <c r="C87" s="27" t="s">
        <v>7</v>
      </c>
      <c r="D87" s="27">
        <v>10</v>
      </c>
      <c r="E87" s="49"/>
    </row>
    <row r="88" spans="1:5" ht="63">
      <c r="A88" s="50" t="s">
        <v>18</v>
      </c>
      <c r="B88" s="26" t="s">
        <v>59</v>
      </c>
      <c r="C88" s="27" t="s">
        <v>9</v>
      </c>
      <c r="D88" s="27">
        <v>2</v>
      </c>
      <c r="E88" s="49"/>
    </row>
    <row r="89" spans="1:5" ht="47.25">
      <c r="A89" s="42">
        <v>2</v>
      </c>
      <c r="B89" s="29" t="s">
        <v>526</v>
      </c>
      <c r="C89" s="1" t="s">
        <v>7</v>
      </c>
      <c r="D89" s="1">
        <f>29+112+5</f>
        <v>146</v>
      </c>
      <c r="E89" s="48" t="s">
        <v>527</v>
      </c>
    </row>
    <row r="90" spans="1:5">
      <c r="A90" s="50" t="s">
        <v>22</v>
      </c>
      <c r="B90" s="26" t="s">
        <v>520</v>
      </c>
      <c r="C90" s="27" t="s">
        <v>7</v>
      </c>
      <c r="D90" s="27">
        <f>SUM(D91:D94)</f>
        <v>169</v>
      </c>
      <c r="E90" s="49" t="s">
        <v>530</v>
      </c>
    </row>
    <row r="91" spans="1:5" ht="31.5">
      <c r="A91" s="50" t="s">
        <v>190</v>
      </c>
      <c r="B91" s="26" t="s">
        <v>20</v>
      </c>
      <c r="C91" s="27" t="s">
        <v>7</v>
      </c>
      <c r="D91" s="27">
        <f>ROUND((D89-D92)*1.02,0)</f>
        <v>146</v>
      </c>
      <c r="E91" s="49" t="s">
        <v>529</v>
      </c>
    </row>
    <row r="92" spans="1:5">
      <c r="A92" s="50" t="s">
        <v>191</v>
      </c>
      <c r="B92" s="26" t="s">
        <v>21</v>
      </c>
      <c r="C92" s="27" t="s">
        <v>7</v>
      </c>
      <c r="D92" s="27">
        <v>3</v>
      </c>
      <c r="E92" s="43"/>
    </row>
    <row r="93" spans="1:5">
      <c r="A93" s="50" t="s">
        <v>531</v>
      </c>
      <c r="B93" s="26" t="s">
        <v>57</v>
      </c>
      <c r="C93" s="27" t="s">
        <v>7</v>
      </c>
      <c r="D93" s="27">
        <v>10</v>
      </c>
      <c r="E93" s="49"/>
    </row>
    <row r="94" spans="1:5">
      <c r="A94" s="50" t="s">
        <v>532</v>
      </c>
      <c r="B94" s="26" t="s">
        <v>58</v>
      </c>
      <c r="C94" s="27" t="s">
        <v>7</v>
      </c>
      <c r="D94" s="27">
        <v>10</v>
      </c>
      <c r="E94" s="49"/>
    </row>
    <row r="95" spans="1:5" ht="63">
      <c r="A95" s="50" t="s">
        <v>23</v>
      </c>
      <c r="B95" s="26" t="s">
        <v>59</v>
      </c>
      <c r="C95" s="27" t="s">
        <v>9</v>
      </c>
      <c r="D95" s="27">
        <v>2</v>
      </c>
      <c r="E95" s="49"/>
    </row>
    <row r="96" spans="1:5" ht="47.25">
      <c r="A96" s="42">
        <v>3</v>
      </c>
      <c r="B96" s="29" t="s">
        <v>541</v>
      </c>
      <c r="C96" s="1" t="s">
        <v>7</v>
      </c>
      <c r="D96" s="1">
        <f>3+112+4</f>
        <v>119</v>
      </c>
      <c r="E96" s="48" t="s">
        <v>543</v>
      </c>
    </row>
    <row r="97" spans="1:5">
      <c r="A97" s="50" t="s">
        <v>35</v>
      </c>
      <c r="B97" s="26" t="s">
        <v>519</v>
      </c>
      <c r="C97" s="27" t="s">
        <v>7</v>
      </c>
      <c r="D97" s="27">
        <f>SUM(D98:D100)</f>
        <v>141</v>
      </c>
      <c r="E97" s="49" t="s">
        <v>535</v>
      </c>
    </row>
    <row r="98" spans="1:5" ht="31.5">
      <c r="A98" s="50" t="s">
        <v>192</v>
      </c>
      <c r="B98" s="26" t="s">
        <v>20</v>
      </c>
      <c r="C98" s="27" t="s">
        <v>7</v>
      </c>
      <c r="D98" s="27">
        <f>ROUND((D96)*1.02,0)</f>
        <v>121</v>
      </c>
      <c r="E98" s="49" t="s">
        <v>536</v>
      </c>
    </row>
    <row r="99" spans="1:5">
      <c r="A99" s="50" t="s">
        <v>533</v>
      </c>
      <c r="B99" s="26" t="s">
        <v>57</v>
      </c>
      <c r="C99" s="27" t="s">
        <v>7</v>
      </c>
      <c r="D99" s="27">
        <v>10</v>
      </c>
      <c r="E99" s="49"/>
    </row>
    <row r="100" spans="1:5">
      <c r="A100" s="50" t="s">
        <v>534</v>
      </c>
      <c r="B100" s="26" t="s">
        <v>58</v>
      </c>
      <c r="C100" s="27" t="s">
        <v>7</v>
      </c>
      <c r="D100" s="27">
        <v>10</v>
      </c>
      <c r="E100" s="49"/>
    </row>
    <row r="101" spans="1:5" ht="63">
      <c r="A101" s="50" t="s">
        <v>36</v>
      </c>
      <c r="B101" s="26" t="s">
        <v>432</v>
      </c>
      <c r="C101" s="27" t="s">
        <v>9</v>
      </c>
      <c r="D101" s="27">
        <v>2</v>
      </c>
      <c r="E101" s="49"/>
    </row>
    <row r="102" spans="1:5" ht="63">
      <c r="A102" s="42">
        <v>4</v>
      </c>
      <c r="B102" s="29" t="s">
        <v>542</v>
      </c>
      <c r="C102" s="1" t="s">
        <v>7</v>
      </c>
      <c r="D102" s="1">
        <f>3+112+40+2</f>
        <v>157</v>
      </c>
      <c r="E102" s="48" t="s">
        <v>544</v>
      </c>
    </row>
    <row r="103" spans="1:5">
      <c r="A103" s="50" t="s">
        <v>89</v>
      </c>
      <c r="B103" s="26" t="s">
        <v>520</v>
      </c>
      <c r="C103" s="27" t="s">
        <v>7</v>
      </c>
      <c r="D103" s="27">
        <f>SUM(D104:D107)</f>
        <v>180</v>
      </c>
      <c r="E103" s="49" t="s">
        <v>547</v>
      </c>
    </row>
    <row r="104" spans="1:5" ht="31.5">
      <c r="A104" s="50" t="s">
        <v>537</v>
      </c>
      <c r="B104" s="26" t="s">
        <v>20</v>
      </c>
      <c r="C104" s="27" t="s">
        <v>7</v>
      </c>
      <c r="D104" s="27">
        <f>ROUND((D102-D105)*1.02,0)</f>
        <v>147</v>
      </c>
      <c r="E104" s="49" t="s">
        <v>546</v>
      </c>
    </row>
    <row r="105" spans="1:5">
      <c r="A105" s="50" t="s">
        <v>538</v>
      </c>
      <c r="B105" s="26" t="s">
        <v>21</v>
      </c>
      <c r="C105" s="27" t="s">
        <v>7</v>
      </c>
      <c r="D105" s="27">
        <f>4+5+4</f>
        <v>13</v>
      </c>
      <c r="E105" s="43" t="s">
        <v>545</v>
      </c>
    </row>
    <row r="106" spans="1:5">
      <c r="A106" s="50" t="s">
        <v>539</v>
      </c>
      <c r="B106" s="26" t="s">
        <v>57</v>
      </c>
      <c r="C106" s="27" t="s">
        <v>7</v>
      </c>
      <c r="D106" s="27">
        <v>10</v>
      </c>
      <c r="E106" s="49"/>
    </row>
    <row r="107" spans="1:5">
      <c r="A107" s="50" t="s">
        <v>540</v>
      </c>
      <c r="B107" s="26" t="s">
        <v>58</v>
      </c>
      <c r="C107" s="27" t="s">
        <v>7</v>
      </c>
      <c r="D107" s="27">
        <v>10</v>
      </c>
      <c r="E107" s="49"/>
    </row>
    <row r="108" spans="1:5" ht="63">
      <c r="A108" s="50" t="s">
        <v>91</v>
      </c>
      <c r="B108" s="26" t="s">
        <v>59</v>
      </c>
      <c r="C108" s="27" t="s">
        <v>9</v>
      </c>
      <c r="D108" s="27">
        <v>2</v>
      </c>
      <c r="E108" s="49"/>
    </row>
    <row r="109" spans="1:5" ht="63">
      <c r="A109" s="42">
        <v>5</v>
      </c>
      <c r="B109" s="29" t="s">
        <v>552</v>
      </c>
      <c r="C109" s="1" t="s">
        <v>7</v>
      </c>
      <c r="D109" s="1">
        <f>3+112+40+19</f>
        <v>174</v>
      </c>
      <c r="E109" s="48" t="s">
        <v>553</v>
      </c>
    </row>
    <row r="110" spans="1:5">
      <c r="A110" s="50" t="s">
        <v>46</v>
      </c>
      <c r="B110" s="26" t="s">
        <v>520</v>
      </c>
      <c r="C110" s="27" t="s">
        <v>7</v>
      </c>
      <c r="D110" s="27">
        <f>SUM(D111:D114)</f>
        <v>197</v>
      </c>
      <c r="E110" s="49" t="s">
        <v>556</v>
      </c>
    </row>
    <row r="111" spans="1:5" ht="31.5">
      <c r="A111" s="50" t="s">
        <v>548</v>
      </c>
      <c r="B111" s="26" t="s">
        <v>20</v>
      </c>
      <c r="C111" s="27" t="s">
        <v>7</v>
      </c>
      <c r="D111" s="27">
        <f>ROUND((D109-D112)*1.02,0)</f>
        <v>162</v>
      </c>
      <c r="E111" s="49" t="s">
        <v>555</v>
      </c>
    </row>
    <row r="112" spans="1:5">
      <c r="A112" s="50" t="s">
        <v>549</v>
      </c>
      <c r="B112" s="26" t="s">
        <v>21</v>
      </c>
      <c r="C112" s="27" t="s">
        <v>7</v>
      </c>
      <c r="D112" s="27">
        <f>4+5+4+2</f>
        <v>15</v>
      </c>
      <c r="E112" s="43" t="s">
        <v>554</v>
      </c>
    </row>
    <row r="113" spans="1:5">
      <c r="A113" s="50" t="s">
        <v>550</v>
      </c>
      <c r="B113" s="26" t="s">
        <v>57</v>
      </c>
      <c r="C113" s="27" t="s">
        <v>7</v>
      </c>
      <c r="D113" s="27">
        <v>10</v>
      </c>
      <c r="E113" s="49"/>
    </row>
    <row r="114" spans="1:5">
      <c r="A114" s="50" t="s">
        <v>551</v>
      </c>
      <c r="B114" s="26" t="s">
        <v>58</v>
      </c>
      <c r="C114" s="27" t="s">
        <v>7</v>
      </c>
      <c r="D114" s="27">
        <v>10</v>
      </c>
      <c r="E114" s="49"/>
    </row>
    <row r="115" spans="1:5" ht="63">
      <c r="A115" s="50" t="s">
        <v>47</v>
      </c>
      <c r="B115" s="26" t="s">
        <v>59</v>
      </c>
      <c r="C115" s="27" t="s">
        <v>9</v>
      </c>
      <c r="D115" s="27">
        <v>2</v>
      </c>
      <c r="E115" s="49"/>
    </row>
    <row r="116" spans="1:5">
      <c r="A116" s="50" t="s">
        <v>52</v>
      </c>
      <c r="B116" s="26" t="s">
        <v>431</v>
      </c>
      <c r="C116" s="27" t="s">
        <v>7</v>
      </c>
      <c r="D116" s="27">
        <f>D97</f>
        <v>141</v>
      </c>
      <c r="E116" s="49"/>
    </row>
    <row r="117" spans="1:5">
      <c r="A117" s="50" t="s">
        <v>53</v>
      </c>
      <c r="B117" s="26" t="s">
        <v>384</v>
      </c>
      <c r="C117" s="27" t="s">
        <v>7</v>
      </c>
      <c r="D117" s="27">
        <f>D83+D90+D103+D110</f>
        <v>753</v>
      </c>
      <c r="E117" s="49" t="s">
        <v>575</v>
      </c>
    </row>
    <row r="118" spans="1:5" ht="31.5">
      <c r="A118" s="50" t="s">
        <v>512</v>
      </c>
      <c r="B118" s="26" t="s">
        <v>558</v>
      </c>
      <c r="C118" s="27" t="s">
        <v>9</v>
      </c>
      <c r="D118" s="27">
        <f>D101</f>
        <v>2</v>
      </c>
      <c r="E118" s="49"/>
    </row>
    <row r="119" spans="1:5" ht="31.5">
      <c r="A119" s="50" t="s">
        <v>513</v>
      </c>
      <c r="B119" s="26" t="s">
        <v>557</v>
      </c>
      <c r="C119" s="27" t="s">
        <v>9</v>
      </c>
      <c r="D119" s="27">
        <f>D88+D95+D108+D115</f>
        <v>8</v>
      </c>
      <c r="E119" s="49" t="s">
        <v>151</v>
      </c>
    </row>
    <row r="120" spans="1:5" ht="31.5">
      <c r="A120" s="42">
        <v>13</v>
      </c>
      <c r="B120" s="32" t="s">
        <v>559</v>
      </c>
      <c r="C120" s="27"/>
      <c r="D120" s="27"/>
      <c r="E120" s="46"/>
    </row>
    <row r="121" spans="1:5" ht="31.5">
      <c r="A121" s="50" t="s">
        <v>123</v>
      </c>
      <c r="B121" s="26" t="s">
        <v>61</v>
      </c>
      <c r="C121" s="27" t="s">
        <v>31</v>
      </c>
      <c r="D121" s="27">
        <v>5</v>
      </c>
      <c r="E121" s="46"/>
    </row>
    <row r="122" spans="1:5" ht="47.25">
      <c r="A122" s="50" t="s">
        <v>124</v>
      </c>
      <c r="B122" s="26" t="s">
        <v>62</v>
      </c>
      <c r="C122" s="27" t="s">
        <v>32</v>
      </c>
      <c r="D122" s="27">
        <f>D121*3</f>
        <v>15</v>
      </c>
      <c r="E122" s="46"/>
    </row>
    <row r="123" spans="1:5">
      <c r="A123" s="50"/>
      <c r="B123" s="26"/>
      <c r="C123" s="27"/>
      <c r="D123" s="27"/>
      <c r="E123" s="46"/>
    </row>
    <row r="124" spans="1:5" ht="31.5">
      <c r="A124" s="44" t="s">
        <v>33</v>
      </c>
      <c r="B124" s="38" t="s">
        <v>562</v>
      </c>
      <c r="C124" s="39"/>
      <c r="D124" s="40"/>
      <c r="E124" s="45"/>
    </row>
    <row r="125" spans="1:5" ht="31.5">
      <c r="A125" s="50" t="s">
        <v>276</v>
      </c>
      <c r="B125" s="29" t="s">
        <v>561</v>
      </c>
      <c r="C125" s="1" t="s">
        <v>7</v>
      </c>
      <c r="D125" s="1">
        <f>4+9</f>
        <v>13</v>
      </c>
      <c r="E125" s="48" t="s">
        <v>570</v>
      </c>
    </row>
    <row r="126" spans="1:5">
      <c r="A126" s="50" t="s">
        <v>189</v>
      </c>
      <c r="B126" s="26" t="s">
        <v>563</v>
      </c>
      <c r="C126" s="27" t="s">
        <v>7</v>
      </c>
      <c r="D126" s="27">
        <f>SUM(D127:D129)</f>
        <v>33</v>
      </c>
      <c r="E126" s="49" t="s">
        <v>560</v>
      </c>
    </row>
    <row r="127" spans="1:5">
      <c r="A127" s="50" t="s">
        <v>22</v>
      </c>
      <c r="B127" s="26" t="s">
        <v>20</v>
      </c>
      <c r="C127" s="27" t="s">
        <v>7</v>
      </c>
      <c r="D127" s="27">
        <f>ROUND(D125*1.02,0)</f>
        <v>13</v>
      </c>
      <c r="E127" s="49"/>
    </row>
    <row r="128" spans="1:5">
      <c r="A128" s="50" t="s">
        <v>23</v>
      </c>
      <c r="B128" s="26" t="s">
        <v>58</v>
      </c>
      <c r="C128" s="27" t="s">
        <v>7</v>
      </c>
      <c r="D128" s="27">
        <v>10</v>
      </c>
      <c r="E128" s="49"/>
    </row>
    <row r="129" spans="1:5">
      <c r="A129" s="50" t="s">
        <v>24</v>
      </c>
      <c r="B129" s="26" t="s">
        <v>274</v>
      </c>
      <c r="C129" s="27" t="s">
        <v>7</v>
      </c>
      <c r="D129" s="27">
        <v>10</v>
      </c>
      <c r="E129" s="49"/>
    </row>
    <row r="130" spans="1:5" ht="63">
      <c r="A130" s="50" t="s">
        <v>34</v>
      </c>
      <c r="B130" s="26" t="s">
        <v>275</v>
      </c>
      <c r="C130" s="27" t="s">
        <v>9</v>
      </c>
      <c r="D130" s="27">
        <v>2</v>
      </c>
      <c r="E130" s="46"/>
    </row>
    <row r="131" spans="1:5" ht="31.5">
      <c r="A131" s="50" t="s">
        <v>122</v>
      </c>
      <c r="B131" s="29" t="s">
        <v>569</v>
      </c>
      <c r="C131" s="1" t="s">
        <v>7</v>
      </c>
      <c r="D131" s="1">
        <f>37+9</f>
        <v>46</v>
      </c>
      <c r="E131" s="48" t="s">
        <v>571</v>
      </c>
    </row>
    <row r="132" spans="1:5">
      <c r="A132" s="50" t="s">
        <v>45</v>
      </c>
      <c r="B132" s="26" t="s">
        <v>563</v>
      </c>
      <c r="C132" s="27" t="s">
        <v>7</v>
      </c>
      <c r="D132" s="27">
        <f>SUM(D133:D136)</f>
        <v>67</v>
      </c>
      <c r="E132" s="49" t="s">
        <v>574</v>
      </c>
    </row>
    <row r="133" spans="1:5" ht="31.5">
      <c r="A133" s="50" t="s">
        <v>46</v>
      </c>
      <c r="B133" s="26" t="s">
        <v>20</v>
      </c>
      <c r="C133" s="27" t="s">
        <v>7</v>
      </c>
      <c r="D133" s="27">
        <f>ROUND((D131-D134)*1.02,0)</f>
        <v>41</v>
      </c>
      <c r="E133" s="49" t="s">
        <v>573</v>
      </c>
    </row>
    <row r="134" spans="1:5">
      <c r="A134" s="50" t="s">
        <v>47</v>
      </c>
      <c r="B134" s="26" t="s">
        <v>21</v>
      </c>
      <c r="C134" s="27" t="s">
        <v>7</v>
      </c>
      <c r="D134" s="27">
        <f>4+2</f>
        <v>6</v>
      </c>
      <c r="E134" s="43" t="s">
        <v>572</v>
      </c>
    </row>
    <row r="135" spans="1:5">
      <c r="A135" s="50" t="s">
        <v>48</v>
      </c>
      <c r="B135" s="26" t="s">
        <v>58</v>
      </c>
      <c r="C135" s="27" t="s">
        <v>7</v>
      </c>
      <c r="D135" s="27">
        <v>10</v>
      </c>
      <c r="E135" s="49"/>
    </row>
    <row r="136" spans="1:5">
      <c r="A136" s="50" t="s">
        <v>49</v>
      </c>
      <c r="B136" s="26" t="s">
        <v>274</v>
      </c>
      <c r="C136" s="27" t="s">
        <v>7</v>
      </c>
      <c r="D136" s="27">
        <v>10</v>
      </c>
      <c r="E136" s="49"/>
    </row>
    <row r="137" spans="1:5" ht="63">
      <c r="A137" s="50" t="s">
        <v>52</v>
      </c>
      <c r="B137" s="26" t="s">
        <v>275</v>
      </c>
      <c r="C137" s="27" t="s">
        <v>9</v>
      </c>
      <c r="D137" s="27">
        <v>2</v>
      </c>
      <c r="E137" s="46"/>
    </row>
    <row r="138" spans="1:5" ht="31.5">
      <c r="A138" s="50" t="s">
        <v>53</v>
      </c>
      <c r="B138" s="26" t="s">
        <v>273</v>
      </c>
      <c r="C138" s="27" t="s">
        <v>7</v>
      </c>
      <c r="D138" s="27">
        <f>D126+D132</f>
        <v>100</v>
      </c>
      <c r="E138" s="43" t="s">
        <v>576</v>
      </c>
    </row>
    <row r="139" spans="1:5" ht="31.5">
      <c r="A139" s="50" t="s">
        <v>512</v>
      </c>
      <c r="B139" s="26" t="s">
        <v>564</v>
      </c>
      <c r="C139" s="27" t="s">
        <v>9</v>
      </c>
      <c r="D139" s="27">
        <f>D130+D137</f>
        <v>4</v>
      </c>
      <c r="E139" s="43" t="s">
        <v>577</v>
      </c>
    </row>
    <row r="140" spans="1:5">
      <c r="A140" s="50" t="s">
        <v>513</v>
      </c>
      <c r="B140" s="26" t="s">
        <v>29</v>
      </c>
      <c r="C140" s="27"/>
      <c r="D140" s="27"/>
      <c r="E140" s="46"/>
    </row>
    <row r="141" spans="1:5" ht="31.5">
      <c r="A141" s="50" t="s">
        <v>565</v>
      </c>
      <c r="B141" s="26" t="s">
        <v>255</v>
      </c>
      <c r="C141" s="27" t="s">
        <v>31</v>
      </c>
      <c r="D141" s="27">
        <v>2</v>
      </c>
      <c r="E141" s="46"/>
    </row>
    <row r="142" spans="1:5" ht="40.5" customHeight="1">
      <c r="A142" s="50" t="s">
        <v>566</v>
      </c>
      <c r="B142" s="26" t="s">
        <v>256</v>
      </c>
      <c r="C142" s="33" t="s">
        <v>383</v>
      </c>
      <c r="D142" s="27">
        <f>D141</f>
        <v>2</v>
      </c>
      <c r="E142" s="46"/>
    </row>
    <row r="143" spans="1:5" ht="38.25">
      <c r="A143" s="50" t="s">
        <v>567</v>
      </c>
      <c r="B143" s="26" t="s">
        <v>257</v>
      </c>
      <c r="C143" s="33" t="s">
        <v>258</v>
      </c>
      <c r="D143" s="27">
        <f>D141*5</f>
        <v>10</v>
      </c>
      <c r="E143" s="46"/>
    </row>
    <row r="144" spans="1:5" ht="31.5">
      <c r="A144" s="50" t="s">
        <v>568</v>
      </c>
      <c r="B144" s="26" t="s">
        <v>30</v>
      </c>
      <c r="C144" s="27" t="s">
        <v>31</v>
      </c>
      <c r="D144" s="27">
        <f>D141</f>
        <v>2</v>
      </c>
      <c r="E144" s="46"/>
    </row>
    <row r="145" spans="1:5" ht="47.25">
      <c r="A145" s="44" t="s">
        <v>283</v>
      </c>
      <c r="B145" s="38" t="s">
        <v>278</v>
      </c>
      <c r="C145" s="39"/>
      <c r="D145" s="40"/>
      <c r="E145" s="45"/>
    </row>
    <row r="146" spans="1:5">
      <c r="A146" s="50" t="s">
        <v>276</v>
      </c>
      <c r="B146" s="29" t="s">
        <v>10</v>
      </c>
      <c r="C146" s="1" t="s">
        <v>7</v>
      </c>
      <c r="D146" s="1">
        <v>10</v>
      </c>
      <c r="E146" s="46"/>
    </row>
    <row r="147" spans="1:5">
      <c r="A147" s="50" t="s">
        <v>189</v>
      </c>
      <c r="B147" s="2" t="s">
        <v>433</v>
      </c>
      <c r="C147" s="1" t="s">
        <v>7</v>
      </c>
      <c r="D147" s="1">
        <f>D146</f>
        <v>10</v>
      </c>
      <c r="E147" s="48"/>
    </row>
    <row r="148" spans="1:5">
      <c r="A148" s="50" t="s">
        <v>22</v>
      </c>
      <c r="B148" s="26" t="s">
        <v>12</v>
      </c>
      <c r="C148" s="27" t="s">
        <v>7</v>
      </c>
      <c r="D148" s="27">
        <f>D147</f>
        <v>10</v>
      </c>
      <c r="E148" s="49"/>
    </row>
    <row r="149" spans="1:5" ht="31.5">
      <c r="A149" s="50" t="s">
        <v>23</v>
      </c>
      <c r="B149" s="26" t="s">
        <v>438</v>
      </c>
      <c r="C149" s="27" t="s">
        <v>7</v>
      </c>
      <c r="D149" s="27">
        <f>D148</f>
        <v>10</v>
      </c>
      <c r="E149" s="49"/>
    </row>
    <row r="150" spans="1:5" ht="31.5">
      <c r="A150" s="50" t="s">
        <v>24</v>
      </c>
      <c r="B150" s="26" t="s">
        <v>434</v>
      </c>
      <c r="C150" s="27" t="s">
        <v>9</v>
      </c>
      <c r="D150" s="30">
        <f>D148*2</f>
        <v>20</v>
      </c>
      <c r="E150" s="49" t="s">
        <v>436</v>
      </c>
    </row>
    <row r="151" spans="1:5">
      <c r="A151" s="50" t="s">
        <v>54</v>
      </c>
      <c r="B151" s="26" t="s">
        <v>435</v>
      </c>
      <c r="C151" s="27" t="s">
        <v>9</v>
      </c>
      <c r="D151" s="30">
        <f>D150</f>
        <v>20</v>
      </c>
      <c r="E151" s="49"/>
    </row>
    <row r="152" spans="1:5" ht="31.5">
      <c r="A152" s="50" t="s">
        <v>34</v>
      </c>
      <c r="B152" s="26" t="s">
        <v>458</v>
      </c>
      <c r="C152" s="27" t="s">
        <v>7</v>
      </c>
      <c r="D152" s="30">
        <f>SUM(D153:D155)</f>
        <v>20</v>
      </c>
      <c r="E152" s="49" t="s">
        <v>440</v>
      </c>
    </row>
    <row r="153" spans="1:5">
      <c r="A153" s="50" t="s">
        <v>35</v>
      </c>
      <c r="B153" s="26" t="s">
        <v>437</v>
      </c>
      <c r="C153" s="27" t="s">
        <v>7</v>
      </c>
      <c r="D153" s="30">
        <f>D148</f>
        <v>10</v>
      </c>
      <c r="E153" s="49"/>
    </row>
    <row r="154" spans="1:5">
      <c r="A154" s="50" t="s">
        <v>37</v>
      </c>
      <c r="B154" s="26" t="s">
        <v>274</v>
      </c>
      <c r="C154" s="27" t="s">
        <v>7</v>
      </c>
      <c r="D154" s="27">
        <v>5</v>
      </c>
      <c r="E154" s="49"/>
    </row>
    <row r="155" spans="1:5">
      <c r="A155" s="50" t="s">
        <v>38</v>
      </c>
      <c r="B155" s="26" t="s">
        <v>279</v>
      </c>
      <c r="C155" s="27" t="s">
        <v>7</v>
      </c>
      <c r="D155" s="27">
        <v>5</v>
      </c>
      <c r="E155" s="49"/>
    </row>
    <row r="156" spans="1:5" ht="22.5" customHeight="1">
      <c r="A156" s="50" t="s">
        <v>122</v>
      </c>
      <c r="B156" s="26" t="s">
        <v>29</v>
      </c>
      <c r="C156" s="27"/>
      <c r="D156" s="27"/>
      <c r="E156" s="46"/>
    </row>
    <row r="157" spans="1:5" ht="31.5">
      <c r="A157" s="50" t="s">
        <v>89</v>
      </c>
      <c r="B157" s="26" t="s">
        <v>255</v>
      </c>
      <c r="C157" s="27" t="s">
        <v>31</v>
      </c>
      <c r="D157" s="27">
        <v>1</v>
      </c>
      <c r="E157" s="46"/>
    </row>
    <row r="158" spans="1:5" ht="31.5">
      <c r="A158" s="50" t="s">
        <v>91</v>
      </c>
      <c r="B158" s="26" t="s">
        <v>256</v>
      </c>
      <c r="C158" s="33" t="s">
        <v>383</v>
      </c>
      <c r="D158" s="27">
        <v>1</v>
      </c>
      <c r="E158" s="46"/>
    </row>
    <row r="159" spans="1:5" ht="38.25">
      <c r="A159" s="50" t="s">
        <v>93</v>
      </c>
      <c r="B159" s="26" t="s">
        <v>257</v>
      </c>
      <c r="C159" s="33" t="s">
        <v>258</v>
      </c>
      <c r="D159" s="27">
        <v>3</v>
      </c>
      <c r="E159" s="46"/>
    </row>
    <row r="160" spans="1:5" ht="31.5">
      <c r="A160" s="50" t="s">
        <v>95</v>
      </c>
      <c r="B160" s="26" t="s">
        <v>30</v>
      </c>
      <c r="C160" s="27" t="s">
        <v>31</v>
      </c>
      <c r="D160" s="27">
        <v>1</v>
      </c>
      <c r="E160" s="46"/>
    </row>
    <row r="161" spans="1:6">
      <c r="A161" s="50"/>
      <c r="B161" s="26"/>
      <c r="C161" s="27"/>
      <c r="D161" s="27"/>
      <c r="E161" s="46"/>
    </row>
    <row r="162" spans="1:6" ht="47.25">
      <c r="A162" s="44" t="s">
        <v>284</v>
      </c>
      <c r="B162" s="41" t="s">
        <v>580</v>
      </c>
      <c r="C162" s="39"/>
      <c r="D162" s="39"/>
      <c r="E162" s="45"/>
    </row>
    <row r="163" spans="1:6" ht="31.5">
      <c r="A163" s="42">
        <v>1</v>
      </c>
      <c r="B163" s="29" t="s">
        <v>126</v>
      </c>
      <c r="C163" s="1" t="s">
        <v>7</v>
      </c>
      <c r="D163" s="1">
        <f>D164+D170</f>
        <v>119</v>
      </c>
      <c r="E163" s="43" t="s">
        <v>439</v>
      </c>
    </row>
    <row r="164" spans="1:6">
      <c r="A164" s="47" t="s">
        <v>189</v>
      </c>
      <c r="B164" s="29" t="s">
        <v>10</v>
      </c>
      <c r="C164" s="1" t="s">
        <v>7</v>
      </c>
      <c r="D164" s="1">
        <v>14</v>
      </c>
      <c r="E164" s="46" t="s">
        <v>578</v>
      </c>
    </row>
    <row r="165" spans="1:6" ht="31.5">
      <c r="A165" s="47" t="s">
        <v>22</v>
      </c>
      <c r="B165" s="26" t="s">
        <v>280</v>
      </c>
      <c r="C165" s="27" t="s">
        <v>7</v>
      </c>
      <c r="D165" s="27">
        <f>SUM(D166:D168)</f>
        <v>32</v>
      </c>
      <c r="E165" s="49" t="s">
        <v>441</v>
      </c>
    </row>
    <row r="166" spans="1:6">
      <c r="A166" s="47" t="s">
        <v>190</v>
      </c>
      <c r="B166" s="26" t="s">
        <v>20</v>
      </c>
      <c r="C166" s="27" t="s">
        <v>7</v>
      </c>
      <c r="D166" s="27">
        <f>ROUND(D164*1.02,0)</f>
        <v>14</v>
      </c>
      <c r="E166" s="49"/>
    </row>
    <row r="167" spans="1:6">
      <c r="A167" s="47" t="s">
        <v>191</v>
      </c>
      <c r="B167" s="26" t="s">
        <v>137</v>
      </c>
      <c r="C167" s="27" t="s">
        <v>7</v>
      </c>
      <c r="D167" s="27">
        <f>10</f>
        <v>10</v>
      </c>
      <c r="E167" s="49"/>
    </row>
    <row r="168" spans="1:6">
      <c r="A168" s="47" t="s">
        <v>531</v>
      </c>
      <c r="B168" s="26" t="s">
        <v>169</v>
      </c>
      <c r="C168" s="27" t="s">
        <v>7</v>
      </c>
      <c r="D168" s="27">
        <f>8</f>
        <v>8</v>
      </c>
      <c r="E168" s="49"/>
    </row>
    <row r="169" spans="1:6" ht="63">
      <c r="A169" s="47" t="s">
        <v>23</v>
      </c>
      <c r="B169" s="26" t="s">
        <v>336</v>
      </c>
      <c r="C169" s="27" t="s">
        <v>9</v>
      </c>
      <c r="D169" s="27">
        <v>2</v>
      </c>
      <c r="E169" s="46"/>
    </row>
    <row r="170" spans="1:6">
      <c r="A170" s="47" t="s">
        <v>34</v>
      </c>
      <c r="B170" s="29" t="s">
        <v>127</v>
      </c>
      <c r="C170" s="27" t="s">
        <v>7</v>
      </c>
      <c r="D170" s="27">
        <f>15*7</f>
        <v>105</v>
      </c>
      <c r="E170" s="49"/>
    </row>
    <row r="171" spans="1:6" ht="31.5">
      <c r="A171" s="47" t="s">
        <v>35</v>
      </c>
      <c r="B171" s="26" t="s">
        <v>128</v>
      </c>
      <c r="C171" s="27" t="s">
        <v>73</v>
      </c>
      <c r="D171" s="27">
        <f>D172</f>
        <v>8</v>
      </c>
      <c r="E171" s="49"/>
    </row>
    <row r="172" spans="1:6">
      <c r="A172" s="47" t="s">
        <v>192</v>
      </c>
      <c r="B172" s="26" t="s">
        <v>129</v>
      </c>
      <c r="C172" s="27" t="s">
        <v>73</v>
      </c>
      <c r="D172" s="27">
        <v>8</v>
      </c>
      <c r="E172" s="49"/>
    </row>
    <row r="173" spans="1:6" ht="31.5">
      <c r="A173" s="47" t="s">
        <v>36</v>
      </c>
      <c r="B173" s="26" t="s">
        <v>130</v>
      </c>
      <c r="C173" s="27" t="s">
        <v>9</v>
      </c>
      <c r="D173" s="27">
        <f>D172</f>
        <v>8</v>
      </c>
      <c r="E173" s="49"/>
    </row>
    <row r="174" spans="1:6">
      <c r="A174" s="47" t="s">
        <v>37</v>
      </c>
      <c r="B174" s="26" t="s">
        <v>131</v>
      </c>
      <c r="C174" s="27" t="s">
        <v>8</v>
      </c>
      <c r="D174" s="28">
        <f>ROUND(3.14*(0.175^2)*2.5*D173,2)</f>
        <v>1.92</v>
      </c>
      <c r="E174" s="49" t="s">
        <v>442</v>
      </c>
    </row>
    <row r="175" spans="1:6">
      <c r="A175" s="47" t="s">
        <v>38</v>
      </c>
      <c r="B175" s="26" t="s">
        <v>134</v>
      </c>
      <c r="C175" s="27" t="s">
        <v>9</v>
      </c>
      <c r="D175" s="27">
        <f>D172</f>
        <v>8</v>
      </c>
      <c r="E175" s="49"/>
    </row>
    <row r="176" spans="1:6" ht="63">
      <c r="A176" s="47" t="s">
        <v>39</v>
      </c>
      <c r="B176" s="26" t="s">
        <v>132</v>
      </c>
      <c r="C176" s="27" t="s">
        <v>8</v>
      </c>
      <c r="D176" s="28">
        <f>D174-D175*0.12</f>
        <v>0.96</v>
      </c>
      <c r="E176" s="49" t="s">
        <v>443</v>
      </c>
      <c r="F176" s="31">
        <f>0.265*0.185*2.5</f>
        <v>0.12256249999999999</v>
      </c>
    </row>
    <row r="177" spans="1:5" ht="31.5">
      <c r="A177" s="47" t="s">
        <v>81</v>
      </c>
      <c r="B177" s="26" t="s">
        <v>133</v>
      </c>
      <c r="C177" s="27" t="s">
        <v>9</v>
      </c>
      <c r="D177" s="27">
        <f>ROUNDUP(2.5/0.2*D175,0)</f>
        <v>100</v>
      </c>
      <c r="E177" s="49" t="s">
        <v>444</v>
      </c>
    </row>
    <row r="178" spans="1:5" ht="31.5">
      <c r="A178" s="47" t="s">
        <v>82</v>
      </c>
      <c r="B178" s="26" t="s">
        <v>135</v>
      </c>
      <c r="C178" s="27" t="s">
        <v>9</v>
      </c>
      <c r="D178" s="27">
        <f>D179</f>
        <v>8</v>
      </c>
      <c r="E178" s="49"/>
    </row>
    <row r="179" spans="1:5">
      <c r="A179" s="47" t="s">
        <v>193</v>
      </c>
      <c r="B179" s="26" t="s">
        <v>129</v>
      </c>
      <c r="C179" s="27" t="s">
        <v>9</v>
      </c>
      <c r="D179" s="27">
        <f>D172</f>
        <v>8</v>
      </c>
      <c r="E179" s="49"/>
    </row>
    <row r="180" spans="1:5" ht="47.25">
      <c r="A180" s="47" t="s">
        <v>83</v>
      </c>
      <c r="B180" s="26" t="s">
        <v>168</v>
      </c>
      <c r="C180" s="27" t="s">
        <v>9</v>
      </c>
      <c r="D180" s="27">
        <v>1</v>
      </c>
      <c r="E180" s="49" t="s">
        <v>171</v>
      </c>
    </row>
    <row r="181" spans="1:5" ht="31.5">
      <c r="A181" s="47" t="s">
        <v>194</v>
      </c>
      <c r="B181" s="26" t="s">
        <v>146</v>
      </c>
      <c r="C181" s="27" t="s">
        <v>7</v>
      </c>
      <c r="D181" s="27">
        <f>0.65*D180</f>
        <v>0.65</v>
      </c>
      <c r="E181" s="49"/>
    </row>
    <row r="182" spans="1:5" ht="31.5">
      <c r="A182" s="47" t="s">
        <v>195</v>
      </c>
      <c r="B182" s="26" t="s">
        <v>148</v>
      </c>
      <c r="C182" s="27" t="s">
        <v>9</v>
      </c>
      <c r="D182" s="27">
        <f>6*D180</f>
        <v>6</v>
      </c>
      <c r="E182" s="49"/>
    </row>
    <row r="183" spans="1:5">
      <c r="A183" s="47" t="s">
        <v>196</v>
      </c>
      <c r="B183" s="26" t="s">
        <v>162</v>
      </c>
      <c r="C183" s="27" t="s">
        <v>9</v>
      </c>
      <c r="D183" s="27">
        <f>2*D180</f>
        <v>2</v>
      </c>
      <c r="E183" s="49"/>
    </row>
    <row r="184" spans="1:5">
      <c r="A184" s="47" t="s">
        <v>197</v>
      </c>
      <c r="B184" s="26" t="s">
        <v>164</v>
      </c>
      <c r="C184" s="27" t="s">
        <v>9</v>
      </c>
      <c r="D184" s="27">
        <f>1*D180</f>
        <v>1</v>
      </c>
      <c r="E184" s="49"/>
    </row>
    <row r="185" spans="1:5" ht="31.5">
      <c r="A185" s="47" t="s">
        <v>198</v>
      </c>
      <c r="B185" s="26" t="s">
        <v>166</v>
      </c>
      <c r="C185" s="27" t="s">
        <v>9</v>
      </c>
      <c r="D185" s="27">
        <f>1*D180</f>
        <v>1</v>
      </c>
      <c r="E185" s="49"/>
    </row>
    <row r="186" spans="1:5">
      <c r="A186" s="47" t="s">
        <v>199</v>
      </c>
      <c r="B186" s="26" t="s">
        <v>157</v>
      </c>
      <c r="C186" s="27" t="s">
        <v>9</v>
      </c>
      <c r="D186" s="27">
        <f>1*D180</f>
        <v>1</v>
      </c>
      <c r="E186" s="49"/>
    </row>
    <row r="187" spans="1:5">
      <c r="A187" s="47" t="s">
        <v>200</v>
      </c>
      <c r="B187" s="26" t="s">
        <v>159</v>
      </c>
      <c r="C187" s="27" t="s">
        <v>9</v>
      </c>
      <c r="D187" s="27">
        <f>1*D180</f>
        <v>1</v>
      </c>
      <c r="E187" s="49"/>
    </row>
    <row r="188" spans="1:5">
      <c r="A188" s="47" t="s">
        <v>201</v>
      </c>
      <c r="B188" s="26" t="s">
        <v>161</v>
      </c>
      <c r="C188" s="27" t="s">
        <v>9</v>
      </c>
      <c r="D188" s="27">
        <f>1*D180</f>
        <v>1</v>
      </c>
      <c r="E188" s="49"/>
    </row>
    <row r="189" spans="1:5" ht="31.5">
      <c r="A189" s="47" t="s">
        <v>202</v>
      </c>
      <c r="B189" s="26" t="s">
        <v>173</v>
      </c>
      <c r="C189" s="27" t="s">
        <v>9</v>
      </c>
      <c r="D189" s="27">
        <f>4*D180</f>
        <v>4</v>
      </c>
      <c r="E189" s="49"/>
    </row>
    <row r="190" spans="1:5" ht="31.5">
      <c r="A190" s="47" t="s">
        <v>203</v>
      </c>
      <c r="B190" s="26" t="s">
        <v>174</v>
      </c>
      <c r="C190" s="27" t="s">
        <v>9</v>
      </c>
      <c r="D190" s="27">
        <f>4*D180</f>
        <v>4</v>
      </c>
      <c r="E190" s="49"/>
    </row>
    <row r="191" spans="1:5" ht="31.5" customHeight="1">
      <c r="A191" s="47" t="s">
        <v>204</v>
      </c>
      <c r="B191" s="71" t="s">
        <v>175</v>
      </c>
      <c r="C191" s="27" t="s">
        <v>9</v>
      </c>
      <c r="D191" s="27">
        <v>1</v>
      </c>
      <c r="E191" s="49"/>
    </row>
    <row r="192" spans="1:5">
      <c r="A192" s="47" t="s">
        <v>205</v>
      </c>
      <c r="B192" s="72"/>
      <c r="C192" s="27" t="s">
        <v>114</v>
      </c>
      <c r="D192" s="27">
        <f>2.32*2.5*D191</f>
        <v>5.8</v>
      </c>
      <c r="E192" s="49" t="s">
        <v>281</v>
      </c>
    </row>
    <row r="193" spans="1:5" ht="31.5">
      <c r="A193" s="47" t="s">
        <v>84</v>
      </c>
      <c r="B193" s="26" t="s">
        <v>445</v>
      </c>
      <c r="C193" s="27" t="s">
        <v>9</v>
      </c>
      <c r="D193" s="27">
        <v>1</v>
      </c>
      <c r="E193" s="49" t="s">
        <v>446</v>
      </c>
    </row>
    <row r="194" spans="1:5" ht="31.5">
      <c r="A194" s="47" t="s">
        <v>206</v>
      </c>
      <c r="B194" s="26" t="s">
        <v>146</v>
      </c>
      <c r="C194" s="27" t="s">
        <v>7</v>
      </c>
      <c r="D194" s="27">
        <f>0.65*D193</f>
        <v>0.65</v>
      </c>
      <c r="E194" s="49" t="s">
        <v>447</v>
      </c>
    </row>
    <row r="195" spans="1:5" ht="31.5">
      <c r="A195" s="47" t="s">
        <v>207</v>
      </c>
      <c r="B195" s="26" t="s">
        <v>148</v>
      </c>
      <c r="C195" s="27" t="s">
        <v>9</v>
      </c>
      <c r="D195" s="27">
        <f>4*D193</f>
        <v>4</v>
      </c>
      <c r="E195" s="49" t="s">
        <v>448</v>
      </c>
    </row>
    <row r="196" spans="1:5">
      <c r="A196" s="47" t="s">
        <v>208</v>
      </c>
      <c r="B196" s="26" t="s">
        <v>162</v>
      </c>
      <c r="C196" s="27" t="s">
        <v>9</v>
      </c>
      <c r="D196" s="27">
        <f>4*D193</f>
        <v>4</v>
      </c>
      <c r="E196" s="49" t="s">
        <v>448</v>
      </c>
    </row>
    <row r="197" spans="1:5">
      <c r="A197" s="47" t="s">
        <v>209</v>
      </c>
      <c r="B197" s="26" t="s">
        <v>164</v>
      </c>
      <c r="C197" s="27" t="s">
        <v>9</v>
      </c>
      <c r="D197" s="27">
        <f>2*D193</f>
        <v>2</v>
      </c>
      <c r="E197" s="49" t="s">
        <v>449</v>
      </c>
    </row>
    <row r="198" spans="1:5" ht="31.5">
      <c r="A198" s="47" t="s">
        <v>210</v>
      </c>
      <c r="B198" s="26" t="s">
        <v>166</v>
      </c>
      <c r="C198" s="27" t="s">
        <v>9</v>
      </c>
      <c r="D198" s="27">
        <f>2*D193</f>
        <v>2</v>
      </c>
      <c r="E198" s="49" t="s">
        <v>449</v>
      </c>
    </row>
    <row r="199" spans="1:5">
      <c r="A199" s="47" t="s">
        <v>211</v>
      </c>
      <c r="B199" s="26" t="s">
        <v>157</v>
      </c>
      <c r="C199" s="27" t="s">
        <v>9</v>
      </c>
      <c r="D199" s="27">
        <f>1*D193</f>
        <v>1</v>
      </c>
      <c r="E199" s="49" t="s">
        <v>450</v>
      </c>
    </row>
    <row r="200" spans="1:5">
      <c r="A200" s="47" t="s">
        <v>212</v>
      </c>
      <c r="B200" s="26" t="s">
        <v>159</v>
      </c>
      <c r="C200" s="27" t="s">
        <v>9</v>
      </c>
      <c r="D200" s="27">
        <f>1*D193</f>
        <v>1</v>
      </c>
      <c r="E200" s="49" t="s">
        <v>450</v>
      </c>
    </row>
    <row r="201" spans="1:5">
      <c r="A201" s="47" t="s">
        <v>213</v>
      </c>
      <c r="B201" s="26" t="s">
        <v>161</v>
      </c>
      <c r="C201" s="27" t="s">
        <v>9</v>
      </c>
      <c r="D201" s="27">
        <f>2*D193</f>
        <v>2</v>
      </c>
      <c r="E201" s="49" t="s">
        <v>449</v>
      </c>
    </row>
    <row r="202" spans="1:5" ht="31.5">
      <c r="A202" s="47" t="s">
        <v>86</v>
      </c>
      <c r="B202" s="26" t="s">
        <v>167</v>
      </c>
      <c r="C202" s="27" t="s">
        <v>9</v>
      </c>
      <c r="D202" s="27">
        <v>1</v>
      </c>
      <c r="E202" s="49" t="s">
        <v>171</v>
      </c>
    </row>
    <row r="203" spans="1:5" ht="31.5">
      <c r="A203" s="47" t="s">
        <v>214</v>
      </c>
      <c r="B203" s="26" t="s">
        <v>146</v>
      </c>
      <c r="C203" s="27" t="s">
        <v>7</v>
      </c>
      <c r="D203" s="27">
        <f>0.65*D202</f>
        <v>0.65</v>
      </c>
      <c r="E203" s="49"/>
    </row>
    <row r="204" spans="1:5" ht="31.5">
      <c r="A204" s="47" t="s">
        <v>215</v>
      </c>
      <c r="B204" s="26" t="s">
        <v>148</v>
      </c>
      <c r="C204" s="27" t="s">
        <v>9</v>
      </c>
      <c r="D204" s="27">
        <f>3*D202</f>
        <v>3</v>
      </c>
      <c r="E204" s="49"/>
    </row>
    <row r="205" spans="1:5">
      <c r="A205" s="47" t="s">
        <v>216</v>
      </c>
      <c r="B205" s="26" t="s">
        <v>162</v>
      </c>
      <c r="C205" s="27" t="s">
        <v>9</v>
      </c>
      <c r="D205" s="27">
        <f>3*D202</f>
        <v>3</v>
      </c>
      <c r="E205" s="49"/>
    </row>
    <row r="206" spans="1:5">
      <c r="A206" s="47" t="s">
        <v>217</v>
      </c>
      <c r="B206" s="26" t="s">
        <v>164</v>
      </c>
      <c r="C206" s="27" t="s">
        <v>9</v>
      </c>
      <c r="D206" s="27">
        <f>1*D202</f>
        <v>1</v>
      </c>
      <c r="E206" s="49"/>
    </row>
    <row r="207" spans="1:5" ht="31.5">
      <c r="A207" s="47" t="s">
        <v>218</v>
      </c>
      <c r="B207" s="26" t="s">
        <v>166</v>
      </c>
      <c r="C207" s="27" t="s">
        <v>9</v>
      </c>
      <c r="D207" s="27">
        <f>1*D202</f>
        <v>1</v>
      </c>
      <c r="E207" s="49"/>
    </row>
    <row r="208" spans="1:5">
      <c r="A208" s="47" t="s">
        <v>219</v>
      </c>
      <c r="B208" s="26" t="s">
        <v>157</v>
      </c>
      <c r="C208" s="27" t="s">
        <v>9</v>
      </c>
      <c r="D208" s="27">
        <f>1*D202</f>
        <v>1</v>
      </c>
      <c r="E208" s="49"/>
    </row>
    <row r="209" spans="1:5">
      <c r="A209" s="47" t="s">
        <v>220</v>
      </c>
      <c r="B209" s="26" t="s">
        <v>159</v>
      </c>
      <c r="C209" s="27" t="s">
        <v>9</v>
      </c>
      <c r="D209" s="27">
        <f>1*D202</f>
        <v>1</v>
      </c>
      <c r="E209" s="49"/>
    </row>
    <row r="210" spans="1:5">
      <c r="A210" s="47" t="s">
        <v>221</v>
      </c>
      <c r="B210" s="26" t="s">
        <v>161</v>
      </c>
      <c r="C210" s="27" t="s">
        <v>9</v>
      </c>
      <c r="D210" s="27">
        <f>1*D202</f>
        <v>1</v>
      </c>
      <c r="E210" s="49"/>
    </row>
    <row r="211" spans="1:5" ht="31.5">
      <c r="A211" s="47" t="s">
        <v>222</v>
      </c>
      <c r="B211" s="26" t="s">
        <v>173</v>
      </c>
      <c r="C211" s="27" t="s">
        <v>9</v>
      </c>
      <c r="D211" s="27">
        <f>1*D202</f>
        <v>1</v>
      </c>
      <c r="E211" s="49"/>
    </row>
    <row r="212" spans="1:5" ht="31.5">
      <c r="A212" s="47" t="s">
        <v>223</v>
      </c>
      <c r="B212" s="26" t="s">
        <v>177</v>
      </c>
      <c r="C212" s="27" t="s">
        <v>9</v>
      </c>
      <c r="D212" s="27">
        <f>4*D202</f>
        <v>4</v>
      </c>
      <c r="E212" s="49"/>
    </row>
    <row r="213" spans="1:5" ht="31.5">
      <c r="A213" s="47" t="s">
        <v>224</v>
      </c>
      <c r="B213" s="26" t="s">
        <v>145</v>
      </c>
      <c r="C213" s="27" t="s">
        <v>9</v>
      </c>
      <c r="D213" s="27">
        <v>5</v>
      </c>
      <c r="E213" s="49" t="s">
        <v>170</v>
      </c>
    </row>
    <row r="214" spans="1:5" ht="31.5">
      <c r="A214" s="47" t="s">
        <v>225</v>
      </c>
      <c r="B214" s="26" t="s">
        <v>146</v>
      </c>
      <c r="C214" s="27" t="s">
        <v>7</v>
      </c>
      <c r="D214" s="27">
        <f>0.3*D213</f>
        <v>1.5</v>
      </c>
      <c r="E214" s="49" t="s">
        <v>388</v>
      </c>
    </row>
    <row r="215" spans="1:5" ht="31.5">
      <c r="A215" s="47" t="s">
        <v>226</v>
      </c>
      <c r="B215" s="26" t="s">
        <v>148</v>
      </c>
      <c r="C215" s="27" t="s">
        <v>9</v>
      </c>
      <c r="D215" s="27">
        <f>2*D213</f>
        <v>10</v>
      </c>
      <c r="E215" s="49" t="s">
        <v>389</v>
      </c>
    </row>
    <row r="216" spans="1:5">
      <c r="A216" s="47" t="s">
        <v>227</v>
      </c>
      <c r="B216" s="26" t="s">
        <v>150</v>
      </c>
      <c r="C216" s="27" t="s">
        <v>9</v>
      </c>
      <c r="D216" s="27">
        <f>2*D213</f>
        <v>10</v>
      </c>
      <c r="E216" s="49" t="s">
        <v>389</v>
      </c>
    </row>
    <row r="217" spans="1:5" ht="31.5">
      <c r="A217" s="47" t="s">
        <v>228</v>
      </c>
      <c r="B217" s="26" t="s">
        <v>153</v>
      </c>
      <c r="C217" s="27" t="s">
        <v>9</v>
      </c>
      <c r="D217" s="27">
        <f>1*D213</f>
        <v>5</v>
      </c>
      <c r="E217" s="49" t="s">
        <v>390</v>
      </c>
    </row>
    <row r="218" spans="1:5">
      <c r="A218" s="47" t="s">
        <v>229</v>
      </c>
      <c r="B218" s="26" t="s">
        <v>155</v>
      </c>
      <c r="C218" s="27" t="s">
        <v>9</v>
      </c>
      <c r="D218" s="27">
        <f>1*D213</f>
        <v>5</v>
      </c>
      <c r="E218" s="49" t="s">
        <v>390</v>
      </c>
    </row>
    <row r="219" spans="1:5">
      <c r="A219" s="47" t="s">
        <v>230</v>
      </c>
      <c r="B219" s="26" t="s">
        <v>157</v>
      </c>
      <c r="C219" s="27" t="s">
        <v>9</v>
      </c>
      <c r="D219" s="27">
        <f>1*D213</f>
        <v>5</v>
      </c>
      <c r="E219" s="49" t="s">
        <v>390</v>
      </c>
    </row>
    <row r="220" spans="1:5">
      <c r="A220" s="47" t="s">
        <v>231</v>
      </c>
      <c r="B220" s="26" t="s">
        <v>159</v>
      </c>
      <c r="C220" s="27" t="s">
        <v>9</v>
      </c>
      <c r="D220" s="27">
        <f>1*D213</f>
        <v>5</v>
      </c>
      <c r="E220" s="49" t="s">
        <v>390</v>
      </c>
    </row>
    <row r="221" spans="1:5">
      <c r="A221" s="47" t="s">
        <v>232</v>
      </c>
      <c r="B221" s="26" t="s">
        <v>161</v>
      </c>
      <c r="C221" s="27" t="s">
        <v>9</v>
      </c>
      <c r="D221" s="27">
        <f>2*D213</f>
        <v>10</v>
      </c>
      <c r="E221" s="49" t="s">
        <v>389</v>
      </c>
    </row>
    <row r="222" spans="1:5" ht="47.25">
      <c r="A222" s="47" t="s">
        <v>233</v>
      </c>
      <c r="B222" s="26" t="s">
        <v>140</v>
      </c>
      <c r="C222" s="27" t="s">
        <v>7</v>
      </c>
      <c r="D222" s="27">
        <f>D223</f>
        <v>110</v>
      </c>
      <c r="E222" s="49"/>
    </row>
    <row r="223" spans="1:5" ht="31.5">
      <c r="A223" s="47" t="s">
        <v>234</v>
      </c>
      <c r="B223" s="26" t="s">
        <v>136</v>
      </c>
      <c r="C223" s="27" t="s">
        <v>7</v>
      </c>
      <c r="D223" s="27">
        <f>ROUND(D170*1.045,0)</f>
        <v>110</v>
      </c>
      <c r="E223" s="49" t="s">
        <v>451</v>
      </c>
    </row>
    <row r="224" spans="1:5">
      <c r="A224" s="47" t="s">
        <v>87</v>
      </c>
      <c r="B224" s="26" t="s">
        <v>178</v>
      </c>
      <c r="C224" s="27" t="s">
        <v>7</v>
      </c>
      <c r="D224" s="27">
        <f>SUM(D225:D226)</f>
        <v>120</v>
      </c>
      <c r="E224" s="49" t="s">
        <v>452</v>
      </c>
    </row>
    <row r="225" spans="1:5">
      <c r="A225" s="47" t="s">
        <v>235</v>
      </c>
      <c r="B225" s="26" t="s">
        <v>143</v>
      </c>
      <c r="C225" s="27" t="s">
        <v>7</v>
      </c>
      <c r="D225" s="27">
        <f>D223</f>
        <v>110</v>
      </c>
      <c r="E225" s="49"/>
    </row>
    <row r="226" spans="1:5">
      <c r="A226" s="47" t="s">
        <v>236</v>
      </c>
      <c r="B226" s="26" t="s">
        <v>144</v>
      </c>
      <c r="C226" s="27" t="s">
        <v>7</v>
      </c>
      <c r="D226" s="27">
        <v>10</v>
      </c>
      <c r="E226" s="49"/>
    </row>
    <row r="227" spans="1:5">
      <c r="A227" s="47" t="s">
        <v>88</v>
      </c>
      <c r="B227" s="26" t="s">
        <v>138</v>
      </c>
      <c r="C227" s="27" t="s">
        <v>9</v>
      </c>
      <c r="D227" s="27">
        <v>13</v>
      </c>
      <c r="E227" s="49"/>
    </row>
    <row r="228" spans="1:5" ht="47.25">
      <c r="A228" s="47" t="s">
        <v>237</v>
      </c>
      <c r="B228" s="26" t="s">
        <v>179</v>
      </c>
      <c r="C228" s="27" t="s">
        <v>9</v>
      </c>
      <c r="D228" s="27">
        <f>D227</f>
        <v>13</v>
      </c>
      <c r="E228" s="49"/>
    </row>
    <row r="229" spans="1:5" ht="47.25">
      <c r="A229" s="47" t="s">
        <v>238</v>
      </c>
      <c r="B229" s="26" t="s">
        <v>180</v>
      </c>
      <c r="C229" s="27" t="s">
        <v>9</v>
      </c>
      <c r="D229" s="27">
        <f>D227</f>
        <v>13</v>
      </c>
      <c r="E229" s="49"/>
    </row>
    <row r="230" spans="1:5" ht="31.5">
      <c r="A230" s="47" t="s">
        <v>239</v>
      </c>
      <c r="B230" s="26" t="s">
        <v>148</v>
      </c>
      <c r="C230" s="27" t="s">
        <v>9</v>
      </c>
      <c r="D230" s="27">
        <f>D227*2</f>
        <v>26</v>
      </c>
      <c r="E230" s="49" t="s">
        <v>453</v>
      </c>
    </row>
    <row r="231" spans="1:5">
      <c r="A231" s="47" t="s">
        <v>240</v>
      </c>
      <c r="B231" s="26" t="s">
        <v>162</v>
      </c>
      <c r="C231" s="27" t="s">
        <v>9</v>
      </c>
      <c r="D231" s="27">
        <f>D228*2</f>
        <v>26</v>
      </c>
      <c r="E231" s="49" t="s">
        <v>453</v>
      </c>
    </row>
    <row r="232" spans="1:5" ht="31.5">
      <c r="A232" s="47" t="s">
        <v>241</v>
      </c>
      <c r="B232" s="26" t="s">
        <v>146</v>
      </c>
      <c r="C232" s="27" t="s">
        <v>7</v>
      </c>
      <c r="D232" s="28">
        <f>0.75*D227</f>
        <v>9.75</v>
      </c>
      <c r="E232" s="49" t="s">
        <v>454</v>
      </c>
    </row>
    <row r="233" spans="1:5">
      <c r="A233" s="47" t="s">
        <v>242</v>
      </c>
      <c r="B233" s="26" t="s">
        <v>182</v>
      </c>
      <c r="C233" s="27" t="s">
        <v>9</v>
      </c>
      <c r="D233" s="27">
        <f>2*D227</f>
        <v>26</v>
      </c>
      <c r="E233" s="49" t="s">
        <v>453</v>
      </c>
    </row>
    <row r="234" spans="1:5">
      <c r="A234" s="47" t="s">
        <v>243</v>
      </c>
      <c r="B234" s="26" t="s">
        <v>159</v>
      </c>
      <c r="C234" s="27" t="s">
        <v>9</v>
      </c>
      <c r="D234" s="27">
        <f>1*D227</f>
        <v>13</v>
      </c>
      <c r="E234" s="49" t="s">
        <v>455</v>
      </c>
    </row>
    <row r="235" spans="1:5">
      <c r="A235" s="47" t="s">
        <v>244</v>
      </c>
      <c r="B235" s="26" t="s">
        <v>157</v>
      </c>
      <c r="C235" s="27" t="s">
        <v>9</v>
      </c>
      <c r="D235" s="27">
        <f>1*D227</f>
        <v>13</v>
      </c>
      <c r="E235" s="49" t="s">
        <v>455</v>
      </c>
    </row>
    <row r="236" spans="1:5" ht="47.25">
      <c r="A236" s="47" t="s">
        <v>245</v>
      </c>
      <c r="B236" s="26" t="s">
        <v>183</v>
      </c>
      <c r="C236" s="27" t="s">
        <v>7</v>
      </c>
      <c r="D236" s="27">
        <f>4.5*D227</f>
        <v>58.5</v>
      </c>
      <c r="E236" s="49" t="s">
        <v>456</v>
      </c>
    </row>
    <row r="237" spans="1:5" ht="31.5">
      <c r="A237" s="47" t="s">
        <v>246</v>
      </c>
      <c r="B237" s="26" t="s">
        <v>184</v>
      </c>
      <c r="C237" s="27" t="s">
        <v>185</v>
      </c>
      <c r="D237" s="27">
        <v>2</v>
      </c>
      <c r="E237" s="49" t="s">
        <v>188</v>
      </c>
    </row>
    <row r="238" spans="1:5" ht="47.25">
      <c r="A238" s="47" t="s">
        <v>247</v>
      </c>
      <c r="B238" s="26" t="s">
        <v>186</v>
      </c>
      <c r="C238" s="27" t="s">
        <v>9</v>
      </c>
      <c r="D238" s="27">
        <f>D237*4</f>
        <v>8</v>
      </c>
      <c r="E238" s="49" t="s">
        <v>151</v>
      </c>
    </row>
    <row r="239" spans="1:5" ht="31.5">
      <c r="A239" s="47" t="s">
        <v>248</v>
      </c>
      <c r="B239" s="26" t="s">
        <v>187</v>
      </c>
      <c r="C239" s="27" t="s">
        <v>9</v>
      </c>
      <c r="D239" s="27">
        <f>D237*3</f>
        <v>6</v>
      </c>
      <c r="E239" s="49" t="s">
        <v>282</v>
      </c>
    </row>
    <row r="240" spans="1:5" ht="31.5">
      <c r="A240" s="47" t="s">
        <v>249</v>
      </c>
      <c r="B240" s="26" t="s">
        <v>139</v>
      </c>
      <c r="C240" s="27" t="s">
        <v>9</v>
      </c>
      <c r="D240" s="27">
        <f>D172</f>
        <v>8</v>
      </c>
      <c r="E240" s="49"/>
    </row>
    <row r="241" spans="1:5" ht="78.75">
      <c r="A241" s="47" t="s">
        <v>250</v>
      </c>
      <c r="B241" s="26" t="s">
        <v>141</v>
      </c>
      <c r="C241" s="27" t="s">
        <v>8</v>
      </c>
      <c r="D241" s="28">
        <f>D240*0.3*0.6*0.5</f>
        <v>0.72</v>
      </c>
      <c r="E241" s="49" t="s">
        <v>457</v>
      </c>
    </row>
    <row r="242" spans="1:5" ht="47.25">
      <c r="A242" s="47" t="s">
        <v>251</v>
      </c>
      <c r="B242" s="26" t="s">
        <v>142</v>
      </c>
      <c r="C242" s="27" t="s">
        <v>9</v>
      </c>
      <c r="D242" s="27">
        <f>D240</f>
        <v>8</v>
      </c>
      <c r="E242" s="49"/>
    </row>
    <row r="243" spans="1:5">
      <c r="A243" s="47" t="s">
        <v>252</v>
      </c>
      <c r="B243" s="26" t="s">
        <v>132</v>
      </c>
      <c r="C243" s="27" t="s">
        <v>8</v>
      </c>
      <c r="D243" s="28">
        <f>D241</f>
        <v>0.72</v>
      </c>
      <c r="E243" s="49"/>
    </row>
    <row r="244" spans="1:5">
      <c r="A244" s="47" t="s">
        <v>261</v>
      </c>
      <c r="B244" s="26" t="s">
        <v>29</v>
      </c>
      <c r="C244" s="27"/>
      <c r="D244" s="27"/>
      <c r="E244" s="49"/>
    </row>
    <row r="245" spans="1:5" ht="47.25">
      <c r="A245" s="47" t="s">
        <v>262</v>
      </c>
      <c r="B245" s="26" t="s">
        <v>253</v>
      </c>
      <c r="C245" s="34" t="s">
        <v>260</v>
      </c>
      <c r="D245" s="27">
        <f>D171</f>
        <v>8</v>
      </c>
      <c r="E245" s="49"/>
    </row>
    <row r="246" spans="1:5" ht="47.25">
      <c r="A246" s="47" t="s">
        <v>263</v>
      </c>
      <c r="B246" s="26" t="s">
        <v>254</v>
      </c>
      <c r="C246" s="33" t="s">
        <v>259</v>
      </c>
      <c r="D246" s="27">
        <f>D245</f>
        <v>8</v>
      </c>
      <c r="E246" s="49"/>
    </row>
    <row r="247" spans="1:5" ht="31.5">
      <c r="A247" s="47" t="s">
        <v>264</v>
      </c>
      <c r="B247" s="26" t="s">
        <v>255</v>
      </c>
      <c r="C247" s="34" t="s">
        <v>31</v>
      </c>
      <c r="D247" s="27">
        <v>1</v>
      </c>
      <c r="E247" s="49"/>
    </row>
    <row r="248" spans="1:5" ht="31.5">
      <c r="A248" s="47" t="s">
        <v>265</v>
      </c>
      <c r="B248" s="26" t="s">
        <v>256</v>
      </c>
      <c r="C248" s="33" t="s">
        <v>383</v>
      </c>
      <c r="D248" s="27">
        <v>1</v>
      </c>
      <c r="E248" s="49"/>
    </row>
    <row r="249" spans="1:5" ht="38.25">
      <c r="A249" s="47" t="s">
        <v>266</v>
      </c>
      <c r="B249" s="26" t="s">
        <v>257</v>
      </c>
      <c r="C249" s="33" t="s">
        <v>258</v>
      </c>
      <c r="D249" s="27">
        <v>4</v>
      </c>
      <c r="E249" s="49"/>
    </row>
    <row r="250" spans="1:5" ht="31.5">
      <c r="A250" s="47" t="s">
        <v>267</v>
      </c>
      <c r="B250" s="26" t="s">
        <v>30</v>
      </c>
      <c r="C250" s="34" t="s">
        <v>31</v>
      </c>
      <c r="D250" s="27">
        <v>1</v>
      </c>
      <c r="E250" s="46"/>
    </row>
    <row r="251" spans="1:5" ht="31.5">
      <c r="A251" s="44" t="s">
        <v>285</v>
      </c>
      <c r="B251" s="38" t="s">
        <v>579</v>
      </c>
      <c r="C251" s="39"/>
      <c r="D251" s="40"/>
      <c r="E251" s="45"/>
    </row>
    <row r="252" spans="1:5" ht="31.5">
      <c r="A252" s="50" t="s">
        <v>276</v>
      </c>
      <c r="B252" s="29" t="s">
        <v>584</v>
      </c>
      <c r="C252" s="1" t="s">
        <v>7</v>
      </c>
      <c r="D252" s="1">
        <f>4+9</f>
        <v>13</v>
      </c>
      <c r="E252" s="48" t="s">
        <v>581</v>
      </c>
    </row>
    <row r="253" spans="1:5">
      <c r="A253" s="50" t="s">
        <v>189</v>
      </c>
      <c r="B253" s="26" t="s">
        <v>583</v>
      </c>
      <c r="C253" s="27" t="s">
        <v>7</v>
      </c>
      <c r="D253" s="27">
        <f>SUM(D254:D256)</f>
        <v>33</v>
      </c>
      <c r="E253" s="49" t="s">
        <v>560</v>
      </c>
    </row>
    <row r="254" spans="1:5">
      <c r="A254" s="50" t="s">
        <v>22</v>
      </c>
      <c r="B254" s="26" t="s">
        <v>20</v>
      </c>
      <c r="C254" s="27" t="s">
        <v>7</v>
      </c>
      <c r="D254" s="27">
        <f>ROUND(D252*1.02,0)</f>
        <v>13</v>
      </c>
      <c r="E254" s="49"/>
    </row>
    <row r="255" spans="1:5">
      <c r="A255" s="50" t="s">
        <v>23</v>
      </c>
      <c r="B255" s="26" t="s">
        <v>58</v>
      </c>
      <c r="C255" s="27" t="s">
        <v>7</v>
      </c>
      <c r="D255" s="27">
        <v>10</v>
      </c>
      <c r="E255" s="49"/>
    </row>
    <row r="256" spans="1:5">
      <c r="A256" s="50" t="s">
        <v>24</v>
      </c>
      <c r="B256" s="26" t="s">
        <v>274</v>
      </c>
      <c r="C256" s="27" t="s">
        <v>7</v>
      </c>
      <c r="D256" s="27">
        <v>10</v>
      </c>
      <c r="E256" s="49"/>
    </row>
    <row r="257" spans="1:7" ht="31.5">
      <c r="A257" s="50" t="s">
        <v>34</v>
      </c>
      <c r="B257" s="29" t="s">
        <v>585</v>
      </c>
      <c r="C257" s="1" t="s">
        <v>7</v>
      </c>
      <c r="D257" s="1">
        <f>37+9</f>
        <v>46</v>
      </c>
      <c r="E257" s="48" t="s">
        <v>582</v>
      </c>
    </row>
    <row r="258" spans="1:7">
      <c r="A258" s="50" t="s">
        <v>122</v>
      </c>
      <c r="B258" s="26" t="s">
        <v>583</v>
      </c>
      <c r="C258" s="27" t="s">
        <v>7</v>
      </c>
      <c r="D258" s="27">
        <f>SUM(D259:D262)</f>
        <v>67</v>
      </c>
      <c r="E258" s="49" t="s">
        <v>574</v>
      </c>
    </row>
    <row r="259" spans="1:7" ht="31.5">
      <c r="A259" s="50" t="s">
        <v>89</v>
      </c>
      <c r="B259" s="26" t="s">
        <v>20</v>
      </c>
      <c r="C259" s="27" t="s">
        <v>7</v>
      </c>
      <c r="D259" s="27">
        <f>ROUND((D257-D260)*1.02,0)</f>
        <v>41</v>
      </c>
      <c r="E259" s="49" t="s">
        <v>573</v>
      </c>
    </row>
    <row r="260" spans="1:7">
      <c r="A260" s="50" t="s">
        <v>91</v>
      </c>
      <c r="B260" s="26" t="s">
        <v>21</v>
      </c>
      <c r="C260" s="27" t="s">
        <v>7</v>
      </c>
      <c r="D260" s="27">
        <f>4+2</f>
        <v>6</v>
      </c>
      <c r="E260" s="43" t="s">
        <v>572</v>
      </c>
    </row>
    <row r="261" spans="1:7">
      <c r="A261" s="50" t="s">
        <v>93</v>
      </c>
      <c r="B261" s="26" t="s">
        <v>58</v>
      </c>
      <c r="C261" s="27" t="s">
        <v>7</v>
      </c>
      <c r="D261" s="27">
        <v>10</v>
      </c>
      <c r="E261" s="49"/>
    </row>
    <row r="262" spans="1:7">
      <c r="A262" s="50" t="s">
        <v>95</v>
      </c>
      <c r="B262" s="26" t="s">
        <v>274</v>
      </c>
      <c r="C262" s="27" t="s">
        <v>7</v>
      </c>
      <c r="D262" s="27">
        <v>10</v>
      </c>
      <c r="E262" s="49"/>
    </row>
    <row r="263" spans="1:7" ht="47.25">
      <c r="A263" s="50" t="s">
        <v>45</v>
      </c>
      <c r="B263" s="29" t="s">
        <v>586</v>
      </c>
      <c r="C263" s="1" t="s">
        <v>7</v>
      </c>
      <c r="D263" s="1">
        <f>9+38+4</f>
        <v>51</v>
      </c>
      <c r="E263" s="48" t="s">
        <v>595</v>
      </c>
      <c r="G263" s="48"/>
    </row>
    <row r="264" spans="1:7">
      <c r="A264" s="50" t="s">
        <v>52</v>
      </c>
      <c r="B264" s="26" t="s">
        <v>583</v>
      </c>
      <c r="C264" s="27" t="s">
        <v>7</v>
      </c>
      <c r="D264" s="27">
        <f>SUM(D265:D268)</f>
        <v>72</v>
      </c>
      <c r="E264" s="49" t="s">
        <v>589</v>
      </c>
    </row>
    <row r="265" spans="1:7" ht="31.5">
      <c r="A265" s="50" t="s">
        <v>378</v>
      </c>
      <c r="B265" s="26" t="s">
        <v>20</v>
      </c>
      <c r="C265" s="27" t="s">
        <v>7</v>
      </c>
      <c r="D265" s="27">
        <f>ROUND((D263-D266)*1.02,0)</f>
        <v>44</v>
      </c>
      <c r="E265" s="49" t="s">
        <v>588</v>
      </c>
    </row>
    <row r="266" spans="1:7">
      <c r="A266" s="50" t="s">
        <v>379</v>
      </c>
      <c r="B266" s="26" t="s">
        <v>21</v>
      </c>
      <c r="C266" s="27" t="s">
        <v>7</v>
      </c>
      <c r="D266" s="27">
        <f>4+2+2</f>
        <v>8</v>
      </c>
      <c r="E266" s="43" t="s">
        <v>587</v>
      </c>
    </row>
    <row r="267" spans="1:7">
      <c r="A267" s="50" t="s">
        <v>380</v>
      </c>
      <c r="B267" s="26" t="s">
        <v>58</v>
      </c>
      <c r="C267" s="27" t="s">
        <v>7</v>
      </c>
      <c r="D267" s="27">
        <v>10</v>
      </c>
      <c r="E267" s="49"/>
    </row>
    <row r="268" spans="1:7">
      <c r="A268" s="50" t="s">
        <v>381</v>
      </c>
      <c r="B268" s="26" t="s">
        <v>274</v>
      </c>
      <c r="C268" s="27" t="s">
        <v>7</v>
      </c>
      <c r="D268" s="27">
        <v>10</v>
      </c>
      <c r="E268" s="49"/>
    </row>
    <row r="269" spans="1:7" ht="63">
      <c r="A269" s="50" t="s">
        <v>53</v>
      </c>
      <c r="B269" s="29" t="s">
        <v>596</v>
      </c>
      <c r="C269" s="1" t="s">
        <v>7</v>
      </c>
      <c r="D269" s="1">
        <f>9+38+40+2</f>
        <v>89</v>
      </c>
      <c r="E269" s="48" t="s">
        <v>594</v>
      </c>
    </row>
    <row r="270" spans="1:7">
      <c r="A270" s="50" t="s">
        <v>512</v>
      </c>
      <c r="B270" s="26" t="s">
        <v>583</v>
      </c>
      <c r="C270" s="27" t="s">
        <v>7</v>
      </c>
      <c r="D270" s="27">
        <f>SUM(D271:D274)</f>
        <v>110</v>
      </c>
      <c r="E270" s="49" t="s">
        <v>599</v>
      </c>
    </row>
    <row r="271" spans="1:7" ht="31.5">
      <c r="A271" s="50" t="s">
        <v>590</v>
      </c>
      <c r="B271" s="26" t="s">
        <v>20</v>
      </c>
      <c r="C271" s="27" t="s">
        <v>7</v>
      </c>
      <c r="D271" s="27">
        <f>ROUND((D269-D272)*1.02,0)</f>
        <v>69</v>
      </c>
      <c r="E271" s="49" t="s">
        <v>598</v>
      </c>
    </row>
    <row r="272" spans="1:7">
      <c r="A272" s="50" t="s">
        <v>591</v>
      </c>
      <c r="B272" s="26" t="s">
        <v>21</v>
      </c>
      <c r="C272" s="27" t="s">
        <v>7</v>
      </c>
      <c r="D272" s="27">
        <f>4+2+2+4+5+4</f>
        <v>21</v>
      </c>
      <c r="E272" s="43" t="s">
        <v>597</v>
      </c>
    </row>
    <row r="273" spans="1:5">
      <c r="A273" s="50" t="s">
        <v>592</v>
      </c>
      <c r="B273" s="26" t="s">
        <v>58</v>
      </c>
      <c r="C273" s="27" t="s">
        <v>7</v>
      </c>
      <c r="D273" s="27">
        <v>10</v>
      </c>
      <c r="E273" s="49"/>
    </row>
    <row r="274" spans="1:5">
      <c r="A274" s="50" t="s">
        <v>593</v>
      </c>
      <c r="B274" s="26" t="s">
        <v>274</v>
      </c>
      <c r="C274" s="27" t="s">
        <v>7</v>
      </c>
      <c r="D274" s="27">
        <v>10</v>
      </c>
      <c r="E274" s="49"/>
    </row>
    <row r="275" spans="1:5" ht="63">
      <c r="A275" s="50" t="s">
        <v>513</v>
      </c>
      <c r="B275" s="29" t="s">
        <v>604</v>
      </c>
      <c r="C275" s="1" t="s">
        <v>7</v>
      </c>
      <c r="D275" s="1">
        <f>9+38+40+19</f>
        <v>106</v>
      </c>
      <c r="E275" s="48" t="s">
        <v>605</v>
      </c>
    </row>
    <row r="276" spans="1:5">
      <c r="A276" s="50" t="s">
        <v>514</v>
      </c>
      <c r="B276" s="26" t="s">
        <v>583</v>
      </c>
      <c r="C276" s="27" t="s">
        <v>7</v>
      </c>
      <c r="D276" s="27">
        <f>SUM(D277:D280)</f>
        <v>128</v>
      </c>
      <c r="E276" s="49" t="s">
        <v>608</v>
      </c>
    </row>
    <row r="277" spans="1:5" ht="31.5">
      <c r="A277" s="50" t="s">
        <v>600</v>
      </c>
      <c r="B277" s="26" t="s">
        <v>20</v>
      </c>
      <c r="C277" s="27" t="s">
        <v>7</v>
      </c>
      <c r="D277" s="27">
        <f>ROUND((D275-D278)*1.02,0)</f>
        <v>85</v>
      </c>
      <c r="E277" s="49" t="s">
        <v>607</v>
      </c>
    </row>
    <row r="278" spans="1:5">
      <c r="A278" s="50" t="s">
        <v>601</v>
      </c>
      <c r="B278" s="26" t="s">
        <v>21</v>
      </c>
      <c r="C278" s="27" t="s">
        <v>7</v>
      </c>
      <c r="D278" s="27">
        <f>4+2+2+4+5+4+2</f>
        <v>23</v>
      </c>
      <c r="E278" s="43" t="s">
        <v>606</v>
      </c>
    </row>
    <row r="279" spans="1:5">
      <c r="A279" s="50" t="s">
        <v>602</v>
      </c>
      <c r="B279" s="26" t="s">
        <v>58</v>
      </c>
      <c r="C279" s="27" t="s">
        <v>7</v>
      </c>
      <c r="D279" s="27">
        <v>10</v>
      </c>
      <c r="E279" s="49"/>
    </row>
    <row r="280" spans="1:5">
      <c r="A280" s="50" t="s">
        <v>603</v>
      </c>
      <c r="B280" s="26" t="s">
        <v>274</v>
      </c>
      <c r="C280" s="27" t="s">
        <v>7</v>
      </c>
      <c r="D280" s="27">
        <v>10</v>
      </c>
      <c r="E280" s="49"/>
    </row>
    <row r="281" spans="1:5" ht="31.5">
      <c r="A281" s="50" t="s">
        <v>53</v>
      </c>
      <c r="B281" s="26" t="s">
        <v>458</v>
      </c>
      <c r="C281" s="27" t="s">
        <v>7</v>
      </c>
      <c r="D281" s="27">
        <f>D253+D258+D264+D270+D276</f>
        <v>410</v>
      </c>
      <c r="E281" s="43" t="s">
        <v>609</v>
      </c>
    </row>
    <row r="282" spans="1:5">
      <c r="A282" s="50" t="s">
        <v>513</v>
      </c>
      <c r="B282" s="26" t="s">
        <v>29</v>
      </c>
      <c r="C282" s="27"/>
      <c r="D282" s="27"/>
      <c r="E282" s="46"/>
    </row>
    <row r="283" spans="1:5" ht="31.5">
      <c r="A283" s="50" t="s">
        <v>565</v>
      </c>
      <c r="B283" s="26" t="s">
        <v>255</v>
      </c>
      <c r="C283" s="27" t="s">
        <v>31</v>
      </c>
      <c r="D283" s="27">
        <v>5</v>
      </c>
      <c r="E283" s="46"/>
    </row>
    <row r="284" spans="1:5" ht="31.5">
      <c r="A284" s="50" t="s">
        <v>566</v>
      </c>
      <c r="B284" s="26" t="s">
        <v>256</v>
      </c>
      <c r="C284" s="33" t="s">
        <v>383</v>
      </c>
      <c r="D284" s="27">
        <f>D283</f>
        <v>5</v>
      </c>
      <c r="E284" s="46"/>
    </row>
    <row r="285" spans="1:5" ht="38.25">
      <c r="A285" s="50" t="s">
        <v>567</v>
      </c>
      <c r="B285" s="26" t="s">
        <v>257</v>
      </c>
      <c r="C285" s="33" t="s">
        <v>258</v>
      </c>
      <c r="D285" s="27">
        <f>D283*3</f>
        <v>15</v>
      </c>
      <c r="E285" s="46"/>
    </row>
    <row r="286" spans="1:5" ht="31.5">
      <c r="A286" s="50" t="s">
        <v>568</v>
      </c>
      <c r="B286" s="26" t="s">
        <v>30</v>
      </c>
      <c r="C286" s="27" t="s">
        <v>31</v>
      </c>
      <c r="D286" s="27">
        <f>D283</f>
        <v>5</v>
      </c>
      <c r="E286" s="46"/>
    </row>
    <row r="287" spans="1:5" ht="31.5">
      <c r="A287" s="44" t="s">
        <v>286</v>
      </c>
      <c r="B287" s="38" t="s">
        <v>579</v>
      </c>
      <c r="C287" s="39"/>
      <c r="D287" s="40"/>
      <c r="E287" s="45"/>
    </row>
    <row r="288" spans="1:5" ht="31.5">
      <c r="A288" s="50" t="s">
        <v>276</v>
      </c>
      <c r="B288" s="29" t="s">
        <v>654</v>
      </c>
      <c r="C288" s="1" t="s">
        <v>7</v>
      </c>
      <c r="D288" s="1">
        <v>3</v>
      </c>
      <c r="E288" s="48"/>
    </row>
    <row r="289" spans="1:5">
      <c r="A289" s="50" t="s">
        <v>189</v>
      </c>
      <c r="B289" s="26" t="s">
        <v>662</v>
      </c>
      <c r="C289" s="27" t="s">
        <v>7</v>
      </c>
      <c r="D289" s="27">
        <f>SUM(D290:D293)</f>
        <v>135</v>
      </c>
      <c r="E289" s="49" t="s">
        <v>657</v>
      </c>
    </row>
    <row r="290" spans="1:5">
      <c r="A290" s="50" t="s">
        <v>22</v>
      </c>
      <c r="B290" s="26" t="s">
        <v>20</v>
      </c>
      <c r="C290" s="27" t="s">
        <v>7</v>
      </c>
      <c r="D290" s="27">
        <f>ROUND((D288-2)*15*1.02,0)</f>
        <v>15</v>
      </c>
      <c r="E290" s="49" t="s">
        <v>659</v>
      </c>
    </row>
    <row r="291" spans="1:5">
      <c r="A291" s="50" t="s">
        <v>23</v>
      </c>
      <c r="B291" s="26" t="s">
        <v>21</v>
      </c>
      <c r="C291" s="27" t="s">
        <v>7</v>
      </c>
      <c r="D291" s="27">
        <f>2*15</f>
        <v>30</v>
      </c>
      <c r="E291" s="49" t="s">
        <v>655</v>
      </c>
    </row>
    <row r="292" spans="1:5">
      <c r="A292" s="50" t="s">
        <v>24</v>
      </c>
      <c r="B292" s="26" t="s">
        <v>58</v>
      </c>
      <c r="C292" s="27" t="s">
        <v>7</v>
      </c>
      <c r="D292" s="27">
        <f>3*15</f>
        <v>45</v>
      </c>
      <c r="E292" s="49" t="s">
        <v>656</v>
      </c>
    </row>
    <row r="293" spans="1:5">
      <c r="A293" s="50" t="s">
        <v>54</v>
      </c>
      <c r="B293" s="26" t="s">
        <v>274</v>
      </c>
      <c r="C293" s="27" t="s">
        <v>7</v>
      </c>
      <c r="D293" s="27">
        <f>3*15</f>
        <v>45</v>
      </c>
      <c r="E293" s="49" t="s">
        <v>656</v>
      </c>
    </row>
    <row r="294" spans="1:5" ht="31.5">
      <c r="A294" s="50" t="s">
        <v>34</v>
      </c>
      <c r="B294" s="29" t="s">
        <v>658</v>
      </c>
      <c r="C294" s="1" t="s">
        <v>7</v>
      </c>
      <c r="D294" s="1">
        <v>3</v>
      </c>
      <c r="E294" s="48"/>
    </row>
    <row r="295" spans="1:5">
      <c r="A295" s="50" t="s">
        <v>122</v>
      </c>
      <c r="B295" s="26" t="s">
        <v>662</v>
      </c>
      <c r="C295" s="27" t="s">
        <v>7</v>
      </c>
      <c r="D295" s="27">
        <f>SUM(D296:D298)</f>
        <v>136</v>
      </c>
      <c r="E295" s="49" t="s">
        <v>661</v>
      </c>
    </row>
    <row r="296" spans="1:5">
      <c r="A296" s="50" t="s">
        <v>89</v>
      </c>
      <c r="B296" s="26" t="s">
        <v>20</v>
      </c>
      <c r="C296" s="27" t="s">
        <v>7</v>
      </c>
      <c r="D296" s="27">
        <f>ROUND((D294)*15*1.02,0)</f>
        <v>46</v>
      </c>
      <c r="E296" s="49" t="s">
        <v>660</v>
      </c>
    </row>
    <row r="297" spans="1:5">
      <c r="A297" s="50" t="s">
        <v>91</v>
      </c>
      <c r="B297" s="26" t="s">
        <v>58</v>
      </c>
      <c r="C297" s="27" t="s">
        <v>7</v>
      </c>
      <c r="D297" s="27">
        <f>3*15</f>
        <v>45</v>
      </c>
      <c r="E297" s="49" t="s">
        <v>656</v>
      </c>
    </row>
    <row r="298" spans="1:5">
      <c r="A298" s="50" t="s">
        <v>93</v>
      </c>
      <c r="B298" s="26" t="s">
        <v>274</v>
      </c>
      <c r="C298" s="27" t="s">
        <v>7</v>
      </c>
      <c r="D298" s="27">
        <f>3*15</f>
        <v>45</v>
      </c>
      <c r="E298" s="49" t="s">
        <v>656</v>
      </c>
    </row>
    <row r="299" spans="1:5" ht="31.5">
      <c r="A299" s="50" t="s">
        <v>45</v>
      </c>
      <c r="B299" s="29" t="s">
        <v>663</v>
      </c>
      <c r="C299" s="1" t="s">
        <v>7</v>
      </c>
      <c r="D299" s="1">
        <v>9</v>
      </c>
      <c r="E299" s="48"/>
    </row>
    <row r="300" spans="1:5">
      <c r="A300" s="50" t="s">
        <v>52</v>
      </c>
      <c r="B300" s="26" t="s">
        <v>662</v>
      </c>
      <c r="C300" s="27" t="s">
        <v>7</v>
      </c>
      <c r="D300" s="27">
        <f>SUM(D301:D304)</f>
        <v>227</v>
      </c>
      <c r="E300" s="49" t="s">
        <v>666</v>
      </c>
    </row>
    <row r="301" spans="1:5">
      <c r="A301" s="50" t="s">
        <v>378</v>
      </c>
      <c r="B301" s="26" t="s">
        <v>20</v>
      </c>
      <c r="C301" s="27" t="s">
        <v>7</v>
      </c>
      <c r="D301" s="27">
        <f>ROUND((D299-4)*15*1.02,0)</f>
        <v>77</v>
      </c>
      <c r="E301" s="49" t="s">
        <v>665</v>
      </c>
    </row>
    <row r="302" spans="1:5">
      <c r="A302" s="50" t="s">
        <v>379</v>
      </c>
      <c r="B302" s="26" t="s">
        <v>21</v>
      </c>
      <c r="C302" s="27" t="s">
        <v>7</v>
      </c>
      <c r="D302" s="27">
        <f>4*15</f>
        <v>60</v>
      </c>
      <c r="E302" s="49" t="s">
        <v>664</v>
      </c>
    </row>
    <row r="303" spans="1:5">
      <c r="A303" s="50" t="s">
        <v>380</v>
      </c>
      <c r="B303" s="26" t="s">
        <v>58</v>
      </c>
      <c r="C303" s="27" t="s">
        <v>7</v>
      </c>
      <c r="D303" s="27">
        <f>3*15</f>
        <v>45</v>
      </c>
      <c r="E303" s="49" t="s">
        <v>656</v>
      </c>
    </row>
    <row r="304" spans="1:5">
      <c r="A304" s="50" t="s">
        <v>381</v>
      </c>
      <c r="B304" s="26" t="s">
        <v>274</v>
      </c>
      <c r="C304" s="27" t="s">
        <v>7</v>
      </c>
      <c r="D304" s="27">
        <f>3*15</f>
        <v>45</v>
      </c>
      <c r="E304" s="49" t="s">
        <v>656</v>
      </c>
    </row>
    <row r="305" spans="1:5" ht="31.5">
      <c r="A305" s="50" t="s">
        <v>53</v>
      </c>
      <c r="B305" s="29" t="s">
        <v>667</v>
      </c>
      <c r="C305" s="1" t="s">
        <v>7</v>
      </c>
      <c r="D305" s="1">
        <v>2</v>
      </c>
      <c r="E305" s="48"/>
    </row>
    <row r="306" spans="1:5">
      <c r="A306" s="50" t="s">
        <v>512</v>
      </c>
      <c r="B306" s="26" t="s">
        <v>662</v>
      </c>
      <c r="C306" s="27" t="s">
        <v>7</v>
      </c>
      <c r="D306" s="27">
        <f>SUM(D307:D309)</f>
        <v>121</v>
      </c>
      <c r="E306" s="49" t="s">
        <v>669</v>
      </c>
    </row>
    <row r="307" spans="1:5">
      <c r="A307" s="50" t="s">
        <v>590</v>
      </c>
      <c r="B307" s="26" t="s">
        <v>20</v>
      </c>
      <c r="C307" s="27" t="s">
        <v>7</v>
      </c>
      <c r="D307" s="27">
        <f>ROUND((D305)*15*1.02,0)</f>
        <v>31</v>
      </c>
      <c r="E307" s="49" t="s">
        <v>668</v>
      </c>
    </row>
    <row r="308" spans="1:5">
      <c r="A308" s="50" t="s">
        <v>591</v>
      </c>
      <c r="B308" s="26" t="s">
        <v>58</v>
      </c>
      <c r="C308" s="27" t="s">
        <v>7</v>
      </c>
      <c r="D308" s="27">
        <f>3*15</f>
        <v>45</v>
      </c>
      <c r="E308" s="49" t="s">
        <v>656</v>
      </c>
    </row>
    <row r="309" spans="1:5">
      <c r="A309" s="50" t="s">
        <v>592</v>
      </c>
      <c r="B309" s="26" t="s">
        <v>274</v>
      </c>
      <c r="C309" s="27" t="s">
        <v>7</v>
      </c>
      <c r="D309" s="27">
        <f>3*15</f>
        <v>45</v>
      </c>
      <c r="E309" s="49" t="s">
        <v>656</v>
      </c>
    </row>
    <row r="310" spans="1:5" ht="31.5">
      <c r="A310" s="50" t="s">
        <v>513</v>
      </c>
      <c r="B310" s="29" t="s">
        <v>670</v>
      </c>
      <c r="C310" s="1" t="s">
        <v>7</v>
      </c>
      <c r="D310" s="1">
        <v>2</v>
      </c>
      <c r="E310" s="48"/>
    </row>
    <row r="311" spans="1:5">
      <c r="A311" s="50" t="s">
        <v>514</v>
      </c>
      <c r="B311" s="26" t="s">
        <v>662</v>
      </c>
      <c r="C311" s="27" t="s">
        <v>7</v>
      </c>
      <c r="D311" s="27">
        <f>SUM(D312:D314)</f>
        <v>121</v>
      </c>
      <c r="E311" s="49" t="s">
        <v>669</v>
      </c>
    </row>
    <row r="312" spans="1:5">
      <c r="A312" s="50" t="s">
        <v>600</v>
      </c>
      <c r="B312" s="26" t="s">
        <v>20</v>
      </c>
      <c r="C312" s="27" t="s">
        <v>7</v>
      </c>
      <c r="D312" s="27">
        <f>ROUND((D310)*15*1.02,0)</f>
        <v>31</v>
      </c>
      <c r="E312" s="49" t="s">
        <v>668</v>
      </c>
    </row>
    <row r="313" spans="1:5">
      <c r="A313" s="50" t="s">
        <v>601</v>
      </c>
      <c r="B313" s="26" t="s">
        <v>58</v>
      </c>
      <c r="C313" s="27" t="s">
        <v>7</v>
      </c>
      <c r="D313" s="27">
        <f>3*15</f>
        <v>45</v>
      </c>
      <c r="E313" s="49" t="s">
        <v>656</v>
      </c>
    </row>
    <row r="314" spans="1:5">
      <c r="A314" s="50" t="s">
        <v>602</v>
      </c>
      <c r="B314" s="26" t="s">
        <v>274</v>
      </c>
      <c r="C314" s="27" t="s">
        <v>7</v>
      </c>
      <c r="D314" s="27">
        <f>3*15</f>
        <v>45</v>
      </c>
      <c r="E314" s="49" t="s">
        <v>656</v>
      </c>
    </row>
    <row r="315" spans="1:5" ht="31.5">
      <c r="A315" s="50" t="s">
        <v>53</v>
      </c>
      <c r="B315" s="26" t="s">
        <v>671</v>
      </c>
      <c r="C315" s="27" t="s">
        <v>7</v>
      </c>
      <c r="D315" s="27">
        <f>D289+D295+D300+D306+D311</f>
        <v>740</v>
      </c>
      <c r="E315" s="43" t="s">
        <v>672</v>
      </c>
    </row>
    <row r="316" spans="1:5">
      <c r="A316" s="50" t="s">
        <v>513</v>
      </c>
      <c r="B316" s="26" t="s">
        <v>29</v>
      </c>
      <c r="C316" s="27"/>
      <c r="D316" s="27"/>
      <c r="E316" s="46"/>
    </row>
    <row r="317" spans="1:5" ht="31.5">
      <c r="A317" s="50" t="s">
        <v>565</v>
      </c>
      <c r="B317" s="26" t="s">
        <v>255</v>
      </c>
      <c r="C317" s="27" t="s">
        <v>31</v>
      </c>
      <c r="D317" s="27">
        <v>15</v>
      </c>
      <c r="E317" s="46"/>
    </row>
    <row r="318" spans="1:5" ht="31.5">
      <c r="A318" s="50" t="s">
        <v>566</v>
      </c>
      <c r="B318" s="26" t="s">
        <v>256</v>
      </c>
      <c r="C318" s="33" t="s">
        <v>383</v>
      </c>
      <c r="D318" s="27">
        <f>D317</f>
        <v>15</v>
      </c>
      <c r="E318" s="46"/>
    </row>
    <row r="319" spans="1:5" ht="38.25">
      <c r="A319" s="50" t="s">
        <v>567</v>
      </c>
      <c r="B319" s="26" t="s">
        <v>257</v>
      </c>
      <c r="C319" s="33" t="s">
        <v>258</v>
      </c>
      <c r="D319" s="27">
        <f>D317*5</f>
        <v>75</v>
      </c>
      <c r="E319" s="46"/>
    </row>
    <row r="320" spans="1:5" ht="31.5">
      <c r="A320" s="50" t="s">
        <v>568</v>
      </c>
      <c r="B320" s="26" t="s">
        <v>30</v>
      </c>
      <c r="C320" s="27" t="s">
        <v>31</v>
      </c>
      <c r="D320" s="27">
        <f>D317</f>
        <v>15</v>
      </c>
      <c r="E320" s="46"/>
    </row>
    <row r="321" spans="1:5" ht="47.25">
      <c r="A321" s="44" t="s">
        <v>286</v>
      </c>
      <c r="B321" s="41" t="s">
        <v>268</v>
      </c>
      <c r="C321" s="39"/>
      <c r="D321" s="39"/>
      <c r="E321" s="45"/>
    </row>
    <row r="322" spans="1:5" ht="78.75">
      <c r="A322" s="42">
        <v>1</v>
      </c>
      <c r="B322" s="2" t="s">
        <v>459</v>
      </c>
      <c r="C322" s="27" t="s">
        <v>8</v>
      </c>
      <c r="D322" s="27">
        <f>119*0.3*0.5</f>
        <v>17.849999999999998</v>
      </c>
      <c r="E322" s="43" t="s">
        <v>612</v>
      </c>
    </row>
    <row r="323" spans="1:5" ht="47.25">
      <c r="A323" s="42">
        <v>2</v>
      </c>
      <c r="B323" s="2" t="s">
        <v>142</v>
      </c>
      <c r="C323" s="1" t="s">
        <v>9</v>
      </c>
      <c r="D323" s="1">
        <v>24</v>
      </c>
      <c r="E323" s="46"/>
    </row>
    <row r="324" spans="1:5" ht="47.25">
      <c r="A324" s="42">
        <v>3</v>
      </c>
      <c r="B324" s="2" t="s">
        <v>269</v>
      </c>
      <c r="C324" s="1" t="s">
        <v>114</v>
      </c>
      <c r="D324" s="1">
        <f>1.99*D323*5</f>
        <v>238.79999999999998</v>
      </c>
      <c r="E324" s="43" t="s">
        <v>610</v>
      </c>
    </row>
    <row r="325" spans="1:5" ht="47.25">
      <c r="A325" s="42">
        <v>4</v>
      </c>
      <c r="B325" s="29" t="s">
        <v>270</v>
      </c>
      <c r="C325" s="1" t="s">
        <v>7</v>
      </c>
      <c r="D325" s="1">
        <f>131+57</f>
        <v>188</v>
      </c>
      <c r="E325" s="43" t="s">
        <v>611</v>
      </c>
    </row>
    <row r="326" spans="1:5" ht="47.25">
      <c r="A326" s="42">
        <v>5</v>
      </c>
      <c r="B326" s="2" t="s">
        <v>272</v>
      </c>
      <c r="C326" s="1" t="s">
        <v>7</v>
      </c>
      <c r="D326" s="1">
        <v>24</v>
      </c>
      <c r="E326" s="46"/>
    </row>
    <row r="327" spans="1:5" ht="47.25">
      <c r="A327" s="42">
        <v>6</v>
      </c>
      <c r="B327" s="2" t="s">
        <v>271</v>
      </c>
      <c r="C327" s="1" t="s">
        <v>114</v>
      </c>
      <c r="D327" s="35">
        <f>(D325+D326)*1.57</f>
        <v>332.84000000000003</v>
      </c>
      <c r="E327" s="43" t="s">
        <v>613</v>
      </c>
    </row>
  </sheetData>
  <autoFilter ref="B1:B327"/>
  <mergeCells count="2">
    <mergeCell ref="A1:E1"/>
    <mergeCell ref="B191:B192"/>
  </mergeCells>
  <phoneticPr fontId="3" type="noConversion"/>
  <pageMargins left="0.78740157480314965" right="0.19685039370078741" top="0.19685039370078741" bottom="1.1811023622047245" header="0.31496062992125984" footer="0.31496062992125984"/>
  <pageSetup paperSize="9" orientation="portrait" blackAndWhite="1" horizontalDpi="3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zoomScaleNormal="100" workbookViewId="0">
      <selection activeCell="J90" sqref="J90"/>
    </sheetView>
  </sheetViews>
  <sheetFormatPr defaultColWidth="9.140625" defaultRowHeight="14.25"/>
  <cols>
    <col min="1" max="1" width="10.140625" style="5" customWidth="1"/>
    <col min="2" max="2" width="6.85546875" style="24" customWidth="1"/>
    <col min="3" max="3" width="58.28515625" style="5" customWidth="1"/>
    <col min="4" max="4" width="29.5703125" style="25" customWidth="1"/>
    <col min="5" max="5" width="20" style="25" customWidth="1"/>
    <col min="6" max="6" width="23.140625" style="25" customWidth="1"/>
    <col min="7" max="7" width="10.5703125" style="25" customWidth="1"/>
    <col min="8" max="8" width="10.140625" style="25" customWidth="1"/>
    <col min="9" max="9" width="12.5703125" style="25" customWidth="1"/>
    <col min="10" max="10" width="28.7109375" style="25" customWidth="1"/>
    <col min="11" max="16384" width="9.140625" style="5"/>
  </cols>
  <sheetData>
    <row r="1" spans="1:10" ht="90.6" customHeight="1">
      <c r="A1" s="4" t="s">
        <v>63</v>
      </c>
      <c r="B1" s="73" t="s">
        <v>64</v>
      </c>
      <c r="C1" s="74"/>
      <c r="D1" s="3" t="s">
        <v>65</v>
      </c>
      <c r="E1" s="3" t="s">
        <v>66</v>
      </c>
      <c r="F1" s="4" t="s">
        <v>67</v>
      </c>
      <c r="G1" s="3" t="s">
        <v>68</v>
      </c>
      <c r="H1" s="4" t="s">
        <v>69</v>
      </c>
      <c r="I1" s="3" t="s">
        <v>70</v>
      </c>
      <c r="J1" s="4" t="s">
        <v>71</v>
      </c>
    </row>
    <row r="2" spans="1:10" ht="22.5" customHeight="1">
      <c r="A2" s="4">
        <v>1</v>
      </c>
      <c r="B2" s="6"/>
      <c r="C2" s="7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</row>
    <row r="3" spans="1:10" ht="22.5" customHeight="1">
      <c r="A3" s="8"/>
      <c r="B3" s="9"/>
      <c r="C3" s="10"/>
      <c r="D3" s="4"/>
      <c r="E3" s="4"/>
      <c r="F3" s="4"/>
      <c r="G3" s="4"/>
      <c r="H3" s="4"/>
      <c r="I3" s="4"/>
      <c r="J3" s="4"/>
    </row>
    <row r="4" spans="1:10" ht="22.5" customHeight="1">
      <c r="A4" s="8"/>
      <c r="B4" s="9"/>
      <c r="C4" s="7" t="s">
        <v>72</v>
      </c>
      <c r="D4" s="4"/>
      <c r="E4" s="4"/>
      <c r="F4" s="4"/>
      <c r="G4" s="4"/>
      <c r="H4" s="4"/>
      <c r="I4" s="4"/>
      <c r="J4" s="4"/>
    </row>
    <row r="5" spans="1:10" ht="22.5" customHeight="1">
      <c r="A5" s="8"/>
      <c r="B5" s="9"/>
      <c r="C5" s="10"/>
      <c r="D5" s="4"/>
      <c r="E5" s="4"/>
      <c r="F5" s="4"/>
      <c r="G5" s="4"/>
      <c r="H5" s="4"/>
      <c r="I5" s="4"/>
      <c r="J5" s="4"/>
    </row>
    <row r="6" spans="1:10" ht="33.75" customHeight="1">
      <c r="A6" s="8"/>
      <c r="B6" s="9" t="s">
        <v>17</v>
      </c>
      <c r="C6" s="11" t="s">
        <v>287</v>
      </c>
      <c r="D6" s="4" t="s">
        <v>391</v>
      </c>
      <c r="E6" s="4"/>
      <c r="F6" s="4"/>
      <c r="G6" s="4" t="s">
        <v>288</v>
      </c>
      <c r="H6" s="4">
        <v>2</v>
      </c>
      <c r="I6" s="7"/>
      <c r="J6" s="4" t="s">
        <v>698</v>
      </c>
    </row>
    <row r="7" spans="1:10" ht="39" customHeight="1">
      <c r="A7" s="8"/>
      <c r="B7" s="9" t="s">
        <v>18</v>
      </c>
      <c r="C7" s="11" t="s">
        <v>287</v>
      </c>
      <c r="D7" s="4" t="s">
        <v>392</v>
      </c>
      <c r="E7" s="4"/>
      <c r="F7" s="4"/>
      <c r="G7" s="4" t="s">
        <v>288</v>
      </c>
      <c r="H7" s="4">
        <v>2</v>
      </c>
      <c r="I7" s="7"/>
      <c r="J7" s="4" t="s">
        <v>698</v>
      </c>
    </row>
    <row r="8" spans="1:10" ht="39" customHeight="1">
      <c r="A8" s="8"/>
      <c r="B8" s="9" t="s">
        <v>19</v>
      </c>
      <c r="C8" s="11" t="s">
        <v>697</v>
      </c>
      <c r="D8" s="4" t="s">
        <v>696</v>
      </c>
      <c r="E8" s="4"/>
      <c r="F8" s="4"/>
      <c r="G8" s="4" t="s">
        <v>288</v>
      </c>
      <c r="H8" s="4">
        <v>1</v>
      </c>
      <c r="I8" s="69"/>
      <c r="J8" s="4" t="s">
        <v>698</v>
      </c>
    </row>
    <row r="9" spans="1:10" s="63" customFormat="1" ht="22.35" customHeight="1">
      <c r="A9" s="58"/>
      <c r="B9" s="9" t="s">
        <v>40</v>
      </c>
      <c r="C9" s="60" t="s">
        <v>289</v>
      </c>
      <c r="D9" s="61"/>
      <c r="E9" s="61"/>
      <c r="F9" s="61"/>
      <c r="G9" s="61" t="s">
        <v>288</v>
      </c>
      <c r="H9" s="61">
        <v>1</v>
      </c>
      <c r="I9" s="62"/>
      <c r="J9" s="4" t="s">
        <v>698</v>
      </c>
    </row>
    <row r="10" spans="1:10" ht="22.35" customHeight="1">
      <c r="A10" s="8"/>
      <c r="B10" s="9" t="s">
        <v>41</v>
      </c>
      <c r="C10" s="13" t="s">
        <v>294</v>
      </c>
      <c r="D10" s="4"/>
      <c r="E10" s="4"/>
      <c r="F10" s="4"/>
      <c r="G10" s="4" t="s">
        <v>288</v>
      </c>
      <c r="H10" s="4">
        <v>1</v>
      </c>
      <c r="I10" s="7"/>
      <c r="J10" s="4" t="s">
        <v>698</v>
      </c>
    </row>
    <row r="11" spans="1:10" ht="35.25" customHeight="1">
      <c r="A11" s="8"/>
      <c r="B11" s="9" t="s">
        <v>679</v>
      </c>
      <c r="C11" s="12" t="s">
        <v>290</v>
      </c>
      <c r="D11" s="3" t="s">
        <v>292</v>
      </c>
      <c r="E11" s="3" t="s">
        <v>297</v>
      </c>
      <c r="F11" s="4" t="s">
        <v>291</v>
      </c>
      <c r="G11" s="4" t="s">
        <v>9</v>
      </c>
      <c r="H11" s="4">
        <v>2</v>
      </c>
      <c r="I11" s="7"/>
      <c r="J11" s="4" t="s">
        <v>698</v>
      </c>
    </row>
    <row r="12" spans="1:10" ht="22.5" customHeight="1">
      <c r="A12" s="8"/>
      <c r="B12" s="9" t="s">
        <v>680</v>
      </c>
      <c r="C12" s="12" t="s">
        <v>293</v>
      </c>
      <c r="D12" s="3" t="s">
        <v>295</v>
      </c>
      <c r="E12" s="3" t="s">
        <v>296</v>
      </c>
      <c r="F12" s="4" t="s">
        <v>291</v>
      </c>
      <c r="G12" s="4" t="s">
        <v>9</v>
      </c>
      <c r="H12" s="4">
        <v>1</v>
      </c>
      <c r="I12" s="7"/>
      <c r="J12" s="4" t="s">
        <v>698</v>
      </c>
    </row>
    <row r="13" spans="1:10" ht="28.5">
      <c r="A13" s="8"/>
      <c r="B13" s="9" t="s">
        <v>681</v>
      </c>
      <c r="C13" s="12" t="s">
        <v>300</v>
      </c>
      <c r="D13" s="3" t="s">
        <v>299</v>
      </c>
      <c r="E13" s="3" t="s">
        <v>298</v>
      </c>
      <c r="F13" s="4" t="s">
        <v>291</v>
      </c>
      <c r="G13" s="4" t="s">
        <v>9</v>
      </c>
      <c r="H13" s="4">
        <v>2</v>
      </c>
      <c r="I13" s="7"/>
      <c r="J13" s="4" t="s">
        <v>698</v>
      </c>
    </row>
    <row r="14" spans="1:10" ht="42.75">
      <c r="A14" s="8"/>
      <c r="B14" s="9" t="s">
        <v>682</v>
      </c>
      <c r="C14" s="12" t="s">
        <v>312</v>
      </c>
      <c r="D14" s="3" t="s">
        <v>323</v>
      </c>
      <c r="E14" s="3" t="s">
        <v>310</v>
      </c>
      <c r="F14" s="4" t="s">
        <v>291</v>
      </c>
      <c r="G14" s="4" t="s">
        <v>9</v>
      </c>
      <c r="H14" s="4">
        <v>2</v>
      </c>
      <c r="I14" s="7"/>
      <c r="J14" s="4" t="s">
        <v>698</v>
      </c>
    </row>
    <row r="15" spans="1:10" ht="42.75">
      <c r="A15" s="8"/>
      <c r="B15" s="9" t="s">
        <v>683</v>
      </c>
      <c r="C15" s="12" t="s">
        <v>313</v>
      </c>
      <c r="D15" s="3" t="s">
        <v>314</v>
      </c>
      <c r="E15" s="3" t="s">
        <v>311</v>
      </c>
      <c r="F15" s="4" t="s">
        <v>291</v>
      </c>
      <c r="G15" s="4" t="s">
        <v>9</v>
      </c>
      <c r="H15" s="4">
        <v>1</v>
      </c>
      <c r="I15" s="7"/>
      <c r="J15" s="4" t="s">
        <v>698</v>
      </c>
    </row>
    <row r="16" spans="1:10" ht="22.5" customHeight="1">
      <c r="A16" s="8"/>
      <c r="B16" s="9" t="s">
        <v>684</v>
      </c>
      <c r="C16" s="12" t="s">
        <v>301</v>
      </c>
      <c r="D16" s="3" t="s">
        <v>302</v>
      </c>
      <c r="E16" s="3" t="s">
        <v>303</v>
      </c>
      <c r="F16" s="4" t="s">
        <v>291</v>
      </c>
      <c r="G16" s="4" t="s">
        <v>9</v>
      </c>
      <c r="H16" s="4">
        <v>2</v>
      </c>
      <c r="I16" s="7"/>
      <c r="J16" s="4" t="s">
        <v>698</v>
      </c>
    </row>
    <row r="17" spans="1:10" ht="22.5" customHeight="1">
      <c r="A17" s="8"/>
      <c r="B17" s="9" t="s">
        <v>685</v>
      </c>
      <c r="C17" s="12" t="s">
        <v>306</v>
      </c>
      <c r="D17" s="3" t="s">
        <v>305</v>
      </c>
      <c r="E17" s="3" t="s">
        <v>304</v>
      </c>
      <c r="F17" s="4" t="s">
        <v>291</v>
      </c>
      <c r="G17" s="4" t="s">
        <v>9</v>
      </c>
      <c r="H17" s="4">
        <v>1</v>
      </c>
      <c r="I17" s="7"/>
      <c r="J17" s="4" t="s">
        <v>698</v>
      </c>
    </row>
    <row r="18" spans="1:10" ht="22.5" customHeight="1">
      <c r="A18" s="8"/>
      <c r="B18" s="9" t="s">
        <v>686</v>
      </c>
      <c r="C18" s="12" t="s">
        <v>308</v>
      </c>
      <c r="D18" s="3" t="s">
        <v>307</v>
      </c>
      <c r="E18" s="3" t="s">
        <v>309</v>
      </c>
      <c r="F18" s="4" t="s">
        <v>291</v>
      </c>
      <c r="G18" s="4" t="s">
        <v>9</v>
      </c>
      <c r="H18" s="4">
        <v>2</v>
      </c>
      <c r="I18" s="7"/>
      <c r="J18" s="4" t="s">
        <v>698</v>
      </c>
    </row>
    <row r="19" spans="1:10" ht="22.5" customHeight="1">
      <c r="A19" s="8"/>
      <c r="B19" s="9" t="s">
        <v>687</v>
      </c>
      <c r="C19" s="12" t="s">
        <v>315</v>
      </c>
      <c r="D19" s="3" t="s">
        <v>316</v>
      </c>
      <c r="E19" s="3" t="s">
        <v>317</v>
      </c>
      <c r="F19" s="4" t="s">
        <v>291</v>
      </c>
      <c r="G19" s="4" t="s">
        <v>9</v>
      </c>
      <c r="H19" s="4">
        <v>1</v>
      </c>
      <c r="I19" s="7"/>
      <c r="J19" s="4" t="s">
        <v>698</v>
      </c>
    </row>
    <row r="20" spans="1:10" ht="36" customHeight="1">
      <c r="A20" s="8"/>
      <c r="B20" s="9" t="s">
        <v>42</v>
      </c>
      <c r="C20" s="12" t="s">
        <v>319</v>
      </c>
      <c r="D20" s="3" t="s">
        <v>320</v>
      </c>
      <c r="E20" s="3" t="s">
        <v>318</v>
      </c>
      <c r="F20" s="4" t="s">
        <v>291</v>
      </c>
      <c r="G20" s="4" t="s">
        <v>9</v>
      </c>
      <c r="H20" s="4">
        <v>1</v>
      </c>
      <c r="I20" s="7"/>
      <c r="J20" s="4" t="s">
        <v>698</v>
      </c>
    </row>
    <row r="21" spans="1:10" ht="39.75" customHeight="1">
      <c r="A21" s="8"/>
      <c r="B21" s="9" t="s">
        <v>43</v>
      </c>
      <c r="C21" s="12" t="s">
        <v>312</v>
      </c>
      <c r="D21" s="3" t="s">
        <v>323</v>
      </c>
      <c r="E21" s="3" t="s">
        <v>310</v>
      </c>
      <c r="F21" s="4" t="s">
        <v>291</v>
      </c>
      <c r="G21" s="4" t="s">
        <v>9</v>
      </c>
      <c r="H21" s="4">
        <v>6</v>
      </c>
      <c r="I21" s="7"/>
      <c r="J21" s="4" t="s">
        <v>698</v>
      </c>
    </row>
    <row r="22" spans="1:10" ht="36.75" customHeight="1">
      <c r="A22" s="8"/>
      <c r="B22" s="9" t="s">
        <v>44</v>
      </c>
      <c r="C22" s="12" t="s">
        <v>460</v>
      </c>
      <c r="D22" s="3" t="s">
        <v>461</v>
      </c>
      <c r="E22" s="3" t="s">
        <v>462</v>
      </c>
      <c r="F22" s="4" t="s">
        <v>291</v>
      </c>
      <c r="G22" s="4" t="s">
        <v>9</v>
      </c>
      <c r="H22" s="4">
        <v>1</v>
      </c>
      <c r="I22" s="7"/>
      <c r="J22" s="4" t="s">
        <v>698</v>
      </c>
    </row>
    <row r="23" spans="1:10" ht="28.5">
      <c r="A23" s="8"/>
      <c r="B23" s="9" t="s">
        <v>688</v>
      </c>
      <c r="C23" s="12" t="s">
        <v>325</v>
      </c>
      <c r="D23" s="3" t="s">
        <v>326</v>
      </c>
      <c r="E23" s="3" t="s">
        <v>327</v>
      </c>
      <c r="F23" s="4" t="s">
        <v>291</v>
      </c>
      <c r="G23" s="4" t="s">
        <v>9</v>
      </c>
      <c r="H23" s="4">
        <v>1</v>
      </c>
      <c r="I23" s="7"/>
      <c r="J23" s="4" t="s">
        <v>698</v>
      </c>
    </row>
    <row r="24" spans="1:10" ht="70.5" customHeight="1">
      <c r="A24" s="8"/>
      <c r="B24" s="9" t="s">
        <v>689</v>
      </c>
      <c r="C24" s="12" t="s">
        <v>329</v>
      </c>
      <c r="D24" s="4" t="s">
        <v>328</v>
      </c>
      <c r="E24" s="3"/>
      <c r="F24" s="4"/>
      <c r="G24" s="4" t="s">
        <v>9</v>
      </c>
      <c r="H24" s="4">
        <v>1</v>
      </c>
      <c r="I24" s="7"/>
      <c r="J24" s="4" t="s">
        <v>698</v>
      </c>
    </row>
    <row r="25" spans="1:10" ht="28.5" customHeight="1">
      <c r="A25" s="8"/>
      <c r="B25" s="9" t="s">
        <v>690</v>
      </c>
      <c r="C25" s="12" t="s">
        <v>385</v>
      </c>
      <c r="D25" s="4" t="s">
        <v>386</v>
      </c>
      <c r="E25" s="3" t="s">
        <v>387</v>
      </c>
      <c r="F25" s="4" t="s">
        <v>291</v>
      </c>
      <c r="G25" s="4" t="s">
        <v>9</v>
      </c>
      <c r="H25" s="4">
        <v>1</v>
      </c>
      <c r="I25" s="37"/>
      <c r="J25" s="4" t="s">
        <v>698</v>
      </c>
    </row>
    <row r="26" spans="1:10" s="63" customFormat="1" ht="22.5" customHeight="1">
      <c r="A26" s="58"/>
      <c r="B26" s="59" t="s">
        <v>74</v>
      </c>
      <c r="C26" s="64" t="s">
        <v>330</v>
      </c>
      <c r="D26" s="61"/>
      <c r="E26" s="65"/>
      <c r="F26" s="61"/>
      <c r="G26" s="61"/>
      <c r="H26" s="61"/>
      <c r="I26" s="62"/>
      <c r="J26" s="4" t="s">
        <v>698</v>
      </c>
    </row>
    <row r="27" spans="1:10" ht="42.75">
      <c r="A27" s="8"/>
      <c r="B27" s="9" t="s">
        <v>691</v>
      </c>
      <c r="C27" s="12" t="s">
        <v>321</v>
      </c>
      <c r="D27" s="3" t="s">
        <v>322</v>
      </c>
      <c r="E27" s="3" t="s">
        <v>324</v>
      </c>
      <c r="F27" s="4" t="s">
        <v>291</v>
      </c>
      <c r="G27" s="4" t="s">
        <v>9</v>
      </c>
      <c r="H27" s="4">
        <v>1</v>
      </c>
      <c r="I27" s="7"/>
      <c r="J27" s="4" t="s">
        <v>698</v>
      </c>
    </row>
    <row r="28" spans="1:10" ht="42.75">
      <c r="A28" s="8"/>
      <c r="B28" s="9" t="s">
        <v>692</v>
      </c>
      <c r="C28" s="12" t="s">
        <v>312</v>
      </c>
      <c r="D28" s="3" t="s">
        <v>323</v>
      </c>
      <c r="E28" s="3" t="s">
        <v>310</v>
      </c>
      <c r="F28" s="4" t="s">
        <v>291</v>
      </c>
      <c r="G28" s="4" t="s">
        <v>9</v>
      </c>
      <c r="H28" s="4">
        <v>2</v>
      </c>
      <c r="I28" s="7"/>
      <c r="J28" s="4" t="s">
        <v>698</v>
      </c>
    </row>
    <row r="29" spans="1:10" ht="42.75">
      <c r="A29" s="8"/>
      <c r="B29" s="9" t="s">
        <v>693</v>
      </c>
      <c r="C29" s="12" t="s">
        <v>331</v>
      </c>
      <c r="D29" s="3" t="s">
        <v>332</v>
      </c>
      <c r="E29" s="3" t="s">
        <v>333</v>
      </c>
      <c r="F29" s="4" t="s">
        <v>291</v>
      </c>
      <c r="G29" s="4" t="s">
        <v>9</v>
      </c>
      <c r="H29" s="4">
        <v>1</v>
      </c>
      <c r="I29" s="7"/>
      <c r="J29" s="4" t="s">
        <v>698</v>
      </c>
    </row>
    <row r="30" spans="1:10" ht="22.5" customHeight="1">
      <c r="A30" s="8"/>
      <c r="B30" s="9" t="s">
        <v>694</v>
      </c>
      <c r="C30" s="12" t="s">
        <v>315</v>
      </c>
      <c r="D30" s="3" t="s">
        <v>316</v>
      </c>
      <c r="E30" s="3" t="s">
        <v>317</v>
      </c>
      <c r="F30" s="4" t="s">
        <v>291</v>
      </c>
      <c r="G30" s="4" t="s">
        <v>9</v>
      </c>
      <c r="H30" s="4">
        <v>1</v>
      </c>
      <c r="I30" s="7"/>
      <c r="J30" s="4" t="s">
        <v>698</v>
      </c>
    </row>
    <row r="31" spans="1:10" ht="22.5" customHeight="1">
      <c r="A31" s="8"/>
      <c r="B31" s="9" t="s">
        <v>370</v>
      </c>
      <c r="C31" s="12" t="s">
        <v>344</v>
      </c>
      <c r="D31" s="3" t="s">
        <v>343</v>
      </c>
      <c r="E31" s="3"/>
      <c r="F31" s="4"/>
      <c r="G31" s="4" t="s">
        <v>9</v>
      </c>
      <c r="H31" s="4">
        <f>ВОР!D228</f>
        <v>13</v>
      </c>
      <c r="I31" s="7"/>
      <c r="J31" s="4" t="s">
        <v>698</v>
      </c>
    </row>
    <row r="32" spans="1:10" ht="28.5">
      <c r="A32" s="8"/>
      <c r="B32" s="9" t="s">
        <v>695</v>
      </c>
      <c r="C32" s="12" t="s">
        <v>369</v>
      </c>
      <c r="D32" s="3" t="s">
        <v>368</v>
      </c>
      <c r="E32" s="3"/>
      <c r="F32" s="4"/>
      <c r="G32" s="4" t="s">
        <v>9</v>
      </c>
      <c r="H32" s="4">
        <f>ВОР!D239</f>
        <v>6</v>
      </c>
      <c r="I32" s="7"/>
      <c r="J32" s="4" t="s">
        <v>698</v>
      </c>
    </row>
    <row r="33" spans="1:10" ht="22.5" customHeight="1">
      <c r="A33" s="8"/>
      <c r="B33" s="9"/>
      <c r="C33" s="12"/>
      <c r="D33" s="4"/>
      <c r="E33" s="3"/>
      <c r="F33" s="4"/>
      <c r="G33" s="4"/>
      <c r="H33" s="4"/>
      <c r="I33" s="7"/>
      <c r="J33" s="4"/>
    </row>
    <row r="34" spans="1:10" ht="22.5" customHeight="1">
      <c r="A34" s="8"/>
      <c r="B34" s="9"/>
      <c r="C34" s="7" t="s">
        <v>75</v>
      </c>
      <c r="D34" s="4"/>
      <c r="E34" s="4"/>
      <c r="F34" s="4"/>
      <c r="G34" s="4"/>
      <c r="H34" s="4"/>
      <c r="I34" s="7"/>
      <c r="J34" s="4"/>
    </row>
    <row r="35" spans="1:10" ht="22.5" customHeight="1">
      <c r="A35" s="8"/>
      <c r="B35" s="9"/>
      <c r="C35" s="7"/>
      <c r="D35" s="4"/>
      <c r="E35" s="4"/>
      <c r="F35" s="4"/>
      <c r="G35" s="4"/>
      <c r="H35" s="4"/>
      <c r="I35" s="7"/>
      <c r="J35" s="4"/>
    </row>
    <row r="36" spans="1:10" ht="66.75" customHeight="1">
      <c r="A36" s="8"/>
      <c r="B36" s="9" t="s">
        <v>22</v>
      </c>
      <c r="C36" s="12" t="s">
        <v>614</v>
      </c>
      <c r="D36" s="4" t="s">
        <v>116</v>
      </c>
      <c r="E36" s="4"/>
      <c r="F36" s="4"/>
      <c r="G36" s="4" t="s">
        <v>7</v>
      </c>
      <c r="H36" s="4">
        <f>ВОР!D117</f>
        <v>753</v>
      </c>
      <c r="I36" s="7">
        <v>3.012</v>
      </c>
      <c r="J36" s="4" t="s">
        <v>699</v>
      </c>
    </row>
    <row r="37" spans="1:10" ht="57">
      <c r="A37" s="8"/>
      <c r="B37" s="9" t="s">
        <v>23</v>
      </c>
      <c r="C37" s="12" t="s">
        <v>463</v>
      </c>
      <c r="D37" s="4" t="s">
        <v>116</v>
      </c>
      <c r="E37" s="4"/>
      <c r="F37" s="4"/>
      <c r="G37" s="4" t="s">
        <v>7</v>
      </c>
      <c r="H37" s="4">
        <f>ВОР!D116</f>
        <v>141</v>
      </c>
      <c r="I37" s="7">
        <v>1.86</v>
      </c>
      <c r="J37" s="4" t="s">
        <v>699</v>
      </c>
    </row>
    <row r="38" spans="1:10" ht="42.75">
      <c r="A38" s="8"/>
      <c r="B38" s="9" t="s">
        <v>24</v>
      </c>
      <c r="C38" s="12" t="s">
        <v>464</v>
      </c>
      <c r="D38" s="4" t="s">
        <v>334</v>
      </c>
      <c r="E38" s="4"/>
      <c r="F38" s="4"/>
      <c r="G38" s="4" t="s">
        <v>7</v>
      </c>
      <c r="H38" s="14">
        <f>ВОР!D152+ВОР!D281</f>
        <v>430</v>
      </c>
      <c r="I38" s="7">
        <v>0.46200000000000002</v>
      </c>
      <c r="J38" s="4" t="s">
        <v>699</v>
      </c>
    </row>
    <row r="39" spans="1:10" ht="57">
      <c r="A39" s="8"/>
      <c r="B39" s="9" t="s">
        <v>54</v>
      </c>
      <c r="C39" s="12" t="s">
        <v>335</v>
      </c>
      <c r="D39" s="4" t="s">
        <v>334</v>
      </c>
      <c r="E39" s="4"/>
      <c r="F39" s="4"/>
      <c r="G39" s="4" t="s">
        <v>7</v>
      </c>
      <c r="H39" s="4">
        <f>ВОР!D165</f>
        <v>32</v>
      </c>
      <c r="I39" s="7">
        <v>0.94299999999999995</v>
      </c>
      <c r="J39" s="4" t="s">
        <v>699</v>
      </c>
    </row>
    <row r="40" spans="1:10" ht="57">
      <c r="A40" s="8"/>
      <c r="B40" s="9" t="s">
        <v>25</v>
      </c>
      <c r="C40" s="12" t="s">
        <v>615</v>
      </c>
      <c r="D40" s="4"/>
      <c r="E40" s="4"/>
      <c r="F40" s="4"/>
      <c r="G40" s="4" t="s">
        <v>7</v>
      </c>
      <c r="H40" s="4">
        <f>ВОР!D138</f>
        <v>100</v>
      </c>
      <c r="I40" s="66">
        <v>1.486</v>
      </c>
      <c r="J40" s="4" t="s">
        <v>699</v>
      </c>
    </row>
    <row r="41" spans="1:10" ht="31.5" customHeight="1">
      <c r="A41" s="8"/>
      <c r="B41" s="9" t="s">
        <v>77</v>
      </c>
      <c r="C41" s="12" t="s">
        <v>117</v>
      </c>
      <c r="D41" s="4" t="s">
        <v>76</v>
      </c>
      <c r="E41" s="4"/>
      <c r="F41" s="4"/>
      <c r="G41" s="4" t="s">
        <v>73</v>
      </c>
      <c r="H41" s="4">
        <f>ВОР!D119</f>
        <v>8</v>
      </c>
      <c r="I41" s="7"/>
      <c r="J41" s="4" t="s">
        <v>699</v>
      </c>
    </row>
    <row r="42" spans="1:10" ht="31.5" customHeight="1">
      <c r="A42" s="8"/>
      <c r="B42" s="9" t="s">
        <v>78</v>
      </c>
      <c r="C42" s="12" t="s">
        <v>465</v>
      </c>
      <c r="D42" s="4" t="s">
        <v>76</v>
      </c>
      <c r="E42" s="4"/>
      <c r="F42" s="4"/>
      <c r="G42" s="4" t="s">
        <v>73</v>
      </c>
      <c r="H42" s="4">
        <f>ВОР!D118</f>
        <v>2</v>
      </c>
      <c r="I42" s="7"/>
      <c r="J42" s="4" t="s">
        <v>699</v>
      </c>
    </row>
    <row r="43" spans="1:10" ht="31.5" customHeight="1">
      <c r="A43" s="8"/>
      <c r="B43" s="9" t="s">
        <v>79</v>
      </c>
      <c r="C43" s="12" t="s">
        <v>337</v>
      </c>
      <c r="D43" s="4" t="s">
        <v>76</v>
      </c>
      <c r="E43" s="4"/>
      <c r="F43" s="4"/>
      <c r="G43" s="4" t="s">
        <v>73</v>
      </c>
      <c r="H43" s="4">
        <f>ВОР!D169</f>
        <v>2</v>
      </c>
      <c r="I43" s="7"/>
      <c r="J43" s="4" t="s">
        <v>699</v>
      </c>
    </row>
    <row r="44" spans="1:10" ht="31.5" customHeight="1">
      <c r="A44" s="8"/>
      <c r="B44" s="9" t="s">
        <v>119</v>
      </c>
      <c r="C44" s="12" t="s">
        <v>338</v>
      </c>
      <c r="D44" s="4" t="s">
        <v>76</v>
      </c>
      <c r="E44" s="4"/>
      <c r="F44" s="4"/>
      <c r="G44" s="4" t="s">
        <v>73</v>
      </c>
      <c r="H44" s="4">
        <f>ВОР!D139</f>
        <v>4</v>
      </c>
      <c r="I44" s="7"/>
      <c r="J44" s="4" t="s">
        <v>699</v>
      </c>
    </row>
    <row r="45" spans="1:10" ht="47.25" customHeight="1">
      <c r="A45" s="8"/>
      <c r="B45" s="9" t="s">
        <v>120</v>
      </c>
      <c r="C45" s="12" t="s">
        <v>674</v>
      </c>
      <c r="D45" s="4" t="s">
        <v>673</v>
      </c>
      <c r="E45" s="3"/>
      <c r="F45" s="4"/>
      <c r="G45" s="4" t="s">
        <v>7</v>
      </c>
      <c r="H45" s="14">
        <f>ВОР!D315</f>
        <v>740</v>
      </c>
      <c r="I45" s="7">
        <v>2.54</v>
      </c>
      <c r="J45" s="4" t="s">
        <v>699</v>
      </c>
    </row>
    <row r="46" spans="1:10" ht="55.5" customHeight="1">
      <c r="A46" s="8"/>
      <c r="B46" s="9" t="s">
        <v>121</v>
      </c>
      <c r="C46" s="12" t="s">
        <v>339</v>
      </c>
      <c r="D46" s="4" t="s">
        <v>80</v>
      </c>
      <c r="E46" s="3"/>
      <c r="F46" s="4"/>
      <c r="G46" s="4" t="s">
        <v>7</v>
      </c>
      <c r="H46" s="4">
        <f>ВОР!D224</f>
        <v>120</v>
      </c>
      <c r="I46" s="7">
        <v>0.26900000000000002</v>
      </c>
      <c r="J46" s="4" t="s">
        <v>699</v>
      </c>
    </row>
    <row r="47" spans="1:10" ht="30" customHeight="1">
      <c r="A47" s="8"/>
      <c r="B47" s="9" t="s">
        <v>354</v>
      </c>
      <c r="C47" s="12" t="s">
        <v>675</v>
      </c>
      <c r="D47" s="4" t="s">
        <v>676</v>
      </c>
      <c r="E47" s="3"/>
      <c r="F47" s="4"/>
      <c r="G47" s="4" t="s">
        <v>73</v>
      </c>
      <c r="H47" s="4">
        <f>2*5*5*3</f>
        <v>150</v>
      </c>
      <c r="I47" s="7"/>
      <c r="J47" s="4" t="s">
        <v>699</v>
      </c>
    </row>
    <row r="48" spans="1:10" ht="30" customHeight="1">
      <c r="A48" s="8"/>
      <c r="B48" s="9" t="s">
        <v>355</v>
      </c>
      <c r="C48" s="12" t="s">
        <v>352</v>
      </c>
      <c r="D48" s="4" t="s">
        <v>353</v>
      </c>
      <c r="E48" s="3"/>
      <c r="F48" s="4"/>
      <c r="G48" s="4" t="s">
        <v>7</v>
      </c>
      <c r="H48" s="4">
        <f>ROUNDUP(ВОР!D236,0)</f>
        <v>59</v>
      </c>
      <c r="I48" s="7"/>
      <c r="J48" s="4" t="s">
        <v>699</v>
      </c>
    </row>
    <row r="49" spans="1:10" ht="30" customHeight="1">
      <c r="A49" s="8"/>
      <c r="B49" s="9"/>
      <c r="C49" s="12"/>
      <c r="D49" s="4"/>
      <c r="E49" s="3"/>
      <c r="F49" s="4"/>
      <c r="G49" s="4"/>
      <c r="H49" s="4"/>
      <c r="I49" s="7"/>
      <c r="J49" s="4"/>
    </row>
    <row r="50" spans="1:10" ht="30" customHeight="1">
      <c r="A50" s="8"/>
      <c r="B50" s="9"/>
      <c r="C50" s="7" t="s">
        <v>340</v>
      </c>
      <c r="D50" s="4"/>
      <c r="E50" s="3"/>
      <c r="F50" s="4"/>
      <c r="G50" s="4"/>
      <c r="H50" s="4"/>
      <c r="I50" s="7"/>
      <c r="J50" s="4"/>
    </row>
    <row r="51" spans="1:10" ht="30" customHeight="1">
      <c r="A51" s="8"/>
      <c r="B51" s="9"/>
      <c r="C51" s="12"/>
      <c r="D51" s="4"/>
      <c r="E51" s="3"/>
      <c r="F51" s="4"/>
      <c r="G51" s="4"/>
      <c r="H51" s="4"/>
      <c r="I51" s="7"/>
      <c r="J51" s="4"/>
    </row>
    <row r="52" spans="1:10" ht="30" customHeight="1">
      <c r="A52" s="8"/>
      <c r="B52" s="9" t="s">
        <v>35</v>
      </c>
      <c r="C52" s="10" t="s">
        <v>341</v>
      </c>
      <c r="D52" s="4" t="s">
        <v>342</v>
      </c>
      <c r="E52" s="3"/>
      <c r="F52" s="4"/>
      <c r="G52" s="4" t="s">
        <v>114</v>
      </c>
      <c r="H52" s="4">
        <f>ВОР!D175</f>
        <v>8</v>
      </c>
      <c r="I52" s="7">
        <v>800</v>
      </c>
      <c r="J52" s="4" t="s">
        <v>699</v>
      </c>
    </row>
    <row r="53" spans="1:10" ht="30" customHeight="1">
      <c r="A53" s="8"/>
      <c r="B53" s="9"/>
      <c r="C53" s="12"/>
      <c r="D53" s="4"/>
      <c r="E53" s="3"/>
      <c r="F53" s="4"/>
      <c r="G53" s="4"/>
      <c r="H53" s="4"/>
      <c r="I53" s="7"/>
      <c r="J53" s="4"/>
    </row>
    <row r="54" spans="1:10" ht="22.5" customHeight="1">
      <c r="A54" s="8"/>
      <c r="B54" s="9"/>
      <c r="C54" s="7" t="s">
        <v>371</v>
      </c>
      <c r="D54" s="4"/>
      <c r="E54" s="3"/>
      <c r="F54" s="4"/>
      <c r="G54" s="4"/>
      <c r="H54" s="4"/>
      <c r="I54" s="7"/>
      <c r="J54" s="4"/>
    </row>
    <row r="55" spans="1:10" ht="22.5" customHeight="1">
      <c r="A55" s="8"/>
      <c r="B55" s="9"/>
      <c r="C55" s="7"/>
      <c r="D55" s="4"/>
      <c r="E55" s="3"/>
      <c r="F55" s="4"/>
      <c r="G55" s="4"/>
      <c r="H55" s="4"/>
      <c r="I55" s="7"/>
      <c r="J55" s="4"/>
    </row>
    <row r="56" spans="1:10" ht="28.5">
      <c r="A56" s="8"/>
      <c r="B56" s="9" t="s">
        <v>89</v>
      </c>
      <c r="C56" s="10" t="s">
        <v>346</v>
      </c>
      <c r="D56" s="3" t="s">
        <v>345</v>
      </c>
      <c r="E56" s="4"/>
      <c r="F56" s="4"/>
      <c r="G56" s="4" t="s">
        <v>9</v>
      </c>
      <c r="H56" s="4">
        <f>ВОР!D242+ВОР!D323</f>
        <v>32</v>
      </c>
      <c r="I56" s="4">
        <f>1.99*5</f>
        <v>9.9499999999999993</v>
      </c>
      <c r="J56" s="4" t="s">
        <v>699</v>
      </c>
    </row>
    <row r="57" spans="1:10" ht="22.5" customHeight="1">
      <c r="A57" s="8"/>
      <c r="B57" s="9" t="s">
        <v>91</v>
      </c>
      <c r="C57" s="10" t="s">
        <v>347</v>
      </c>
      <c r="D57" s="4" t="s">
        <v>85</v>
      </c>
      <c r="E57" s="4"/>
      <c r="F57" s="4"/>
      <c r="G57" s="4" t="s">
        <v>7</v>
      </c>
      <c r="H57" s="4">
        <f>ВОР!D325</f>
        <v>188</v>
      </c>
      <c r="I57" s="14">
        <f>ВОР!D327</f>
        <v>332.84000000000003</v>
      </c>
      <c r="J57" s="4" t="s">
        <v>699</v>
      </c>
    </row>
    <row r="58" spans="1:10" ht="22.5" customHeight="1">
      <c r="A58" s="8"/>
      <c r="B58" s="9" t="s">
        <v>93</v>
      </c>
      <c r="C58" s="12" t="s">
        <v>349</v>
      </c>
      <c r="D58" s="4" t="s">
        <v>348</v>
      </c>
      <c r="E58" s="4"/>
      <c r="F58" s="4"/>
      <c r="G58" s="3" t="s">
        <v>9</v>
      </c>
      <c r="H58" s="14">
        <f>ВОР!D191</f>
        <v>1</v>
      </c>
      <c r="I58" s="4">
        <f>2.32*2.5</f>
        <v>5.8</v>
      </c>
      <c r="J58" s="4" t="s">
        <v>699</v>
      </c>
    </row>
    <row r="59" spans="1:10" ht="28.5">
      <c r="A59" s="8"/>
      <c r="B59" s="9" t="s">
        <v>95</v>
      </c>
      <c r="C59" s="11" t="s">
        <v>350</v>
      </c>
      <c r="D59" s="4" t="s">
        <v>351</v>
      </c>
      <c r="E59" s="4"/>
      <c r="F59" s="4"/>
      <c r="G59" s="3" t="s">
        <v>9</v>
      </c>
      <c r="H59" s="14">
        <f>ВОР!D229</f>
        <v>13</v>
      </c>
      <c r="I59" s="4"/>
      <c r="J59" s="4" t="s">
        <v>699</v>
      </c>
    </row>
    <row r="60" spans="1:10" ht="23.25" customHeight="1">
      <c r="A60" s="8"/>
      <c r="B60" s="9" t="s">
        <v>96</v>
      </c>
      <c r="C60" s="11" t="s">
        <v>102</v>
      </c>
      <c r="D60" s="7" t="s">
        <v>103</v>
      </c>
      <c r="E60" s="7"/>
      <c r="F60" s="7"/>
      <c r="G60" s="20" t="s">
        <v>7</v>
      </c>
      <c r="H60" s="16">
        <f>ROUNDUP(ВОР!D181+ВОР!D194+ВОР!D203+ВОР!D214+ВОР!D232,0)</f>
        <v>14</v>
      </c>
      <c r="I60" s="4">
        <v>0.5</v>
      </c>
      <c r="J60" s="4" t="s">
        <v>699</v>
      </c>
    </row>
    <row r="61" spans="1:10" ht="22.5" customHeight="1">
      <c r="A61" s="8"/>
      <c r="B61" s="9"/>
      <c r="C61" s="10"/>
      <c r="D61" s="7"/>
      <c r="E61" s="7"/>
      <c r="F61" s="7"/>
      <c r="G61" s="7"/>
      <c r="H61" s="7"/>
      <c r="I61" s="4"/>
      <c r="J61" s="4"/>
    </row>
    <row r="62" spans="1:10" ht="22.5" customHeight="1">
      <c r="A62" s="8"/>
      <c r="B62" s="9"/>
      <c r="C62" s="7" t="s">
        <v>372</v>
      </c>
      <c r="D62" s="7"/>
      <c r="E62" s="7"/>
      <c r="F62" s="7"/>
      <c r="G62" s="7"/>
      <c r="H62" s="7"/>
      <c r="I62" s="4"/>
      <c r="J62" s="4"/>
    </row>
    <row r="63" spans="1:10" ht="22.5" customHeight="1">
      <c r="A63" s="8"/>
      <c r="B63" s="9"/>
      <c r="C63" s="10"/>
      <c r="D63" s="7"/>
      <c r="E63" s="7"/>
      <c r="F63" s="7"/>
      <c r="G63" s="7"/>
      <c r="H63" s="7"/>
      <c r="I63" s="4"/>
      <c r="J63" s="4"/>
    </row>
    <row r="64" spans="1:10" ht="22.5" customHeight="1">
      <c r="A64" s="8"/>
      <c r="B64" s="9" t="s">
        <v>46</v>
      </c>
      <c r="C64" s="10" t="s">
        <v>147</v>
      </c>
      <c r="D64" s="7" t="s">
        <v>90</v>
      </c>
      <c r="E64" s="7"/>
      <c r="F64" s="7"/>
      <c r="G64" s="17" t="s">
        <v>9</v>
      </c>
      <c r="H64" s="16">
        <f>ВОР!D182+ВОР!D195+ВОР!D204+ВОР!D215+ВОР!D230</f>
        <v>49</v>
      </c>
      <c r="I64" s="4">
        <v>7.8E-2</v>
      </c>
      <c r="J64" s="4" t="s">
        <v>699</v>
      </c>
    </row>
    <row r="65" spans="1:10" ht="22.5" customHeight="1">
      <c r="A65" s="8"/>
      <c r="B65" s="9" t="s">
        <v>47</v>
      </c>
      <c r="C65" s="10" t="s">
        <v>356</v>
      </c>
      <c r="D65" s="7" t="s">
        <v>92</v>
      </c>
      <c r="E65" s="7"/>
      <c r="F65" s="7"/>
      <c r="G65" s="17" t="s">
        <v>9</v>
      </c>
      <c r="H65" s="16">
        <f>ВОР!D183+ВОР!D196+ВОР!D205+ВОР!D231</f>
        <v>35</v>
      </c>
      <c r="I65" s="4">
        <v>0.02</v>
      </c>
      <c r="J65" s="4" t="s">
        <v>699</v>
      </c>
    </row>
    <row r="66" spans="1:10" ht="22.5" customHeight="1">
      <c r="A66" s="8"/>
      <c r="B66" s="9" t="s">
        <v>48</v>
      </c>
      <c r="C66" s="18" t="s">
        <v>149</v>
      </c>
      <c r="D66" s="7" t="s">
        <v>357</v>
      </c>
      <c r="E66" s="7"/>
      <c r="F66" s="7"/>
      <c r="G66" s="17" t="s">
        <v>9</v>
      </c>
      <c r="H66" s="16">
        <f>ВОР!D216</f>
        <v>10</v>
      </c>
      <c r="I66" s="4">
        <v>0.01</v>
      </c>
      <c r="J66" s="4" t="s">
        <v>699</v>
      </c>
    </row>
    <row r="67" spans="1:10" ht="22.5" customHeight="1">
      <c r="A67" s="8"/>
      <c r="B67" s="9" t="s">
        <v>49</v>
      </c>
      <c r="C67" s="10" t="s">
        <v>152</v>
      </c>
      <c r="D67" s="7" t="s">
        <v>358</v>
      </c>
      <c r="E67" s="7"/>
      <c r="F67" s="7"/>
      <c r="G67" s="17" t="s">
        <v>9</v>
      </c>
      <c r="H67" s="16">
        <f>ВОР!D217</f>
        <v>5</v>
      </c>
      <c r="I67" s="4">
        <v>0.17</v>
      </c>
      <c r="J67" s="4" t="s">
        <v>699</v>
      </c>
    </row>
    <row r="68" spans="1:10" ht="22.5" customHeight="1">
      <c r="A68" s="8"/>
      <c r="B68" s="9" t="s">
        <v>50</v>
      </c>
      <c r="C68" s="10" t="s">
        <v>163</v>
      </c>
      <c r="D68" s="7" t="s">
        <v>94</v>
      </c>
      <c r="E68" s="7"/>
      <c r="F68" s="7"/>
      <c r="G68" s="17" t="s">
        <v>9</v>
      </c>
      <c r="H68" s="16">
        <f>ВОР!D184+ВОР!D197+ВОР!D206</f>
        <v>4</v>
      </c>
      <c r="I68" s="4">
        <v>0.3</v>
      </c>
      <c r="J68" s="4" t="s">
        <v>699</v>
      </c>
    </row>
    <row r="69" spans="1:10" ht="22.5" customHeight="1">
      <c r="A69" s="8"/>
      <c r="B69" s="9" t="s">
        <v>51</v>
      </c>
      <c r="C69" s="10" t="s">
        <v>154</v>
      </c>
      <c r="D69" s="7" t="s">
        <v>359</v>
      </c>
      <c r="E69" s="7"/>
      <c r="F69" s="7"/>
      <c r="G69" s="17" t="s">
        <v>9</v>
      </c>
      <c r="H69" s="16">
        <f>ВОР!D218</f>
        <v>5</v>
      </c>
      <c r="I69" s="4"/>
      <c r="J69" s="4" t="s">
        <v>699</v>
      </c>
    </row>
    <row r="70" spans="1:10" ht="22.5" customHeight="1">
      <c r="A70" s="8"/>
      <c r="B70" s="9" t="s">
        <v>105</v>
      </c>
      <c r="C70" s="10" t="s">
        <v>165</v>
      </c>
      <c r="D70" s="7" t="s">
        <v>360</v>
      </c>
      <c r="E70" s="7"/>
      <c r="F70" s="7"/>
      <c r="G70" s="17" t="s">
        <v>9</v>
      </c>
      <c r="H70" s="16">
        <f>ВОР!D185+ВОР!D198+ВОР!D207</f>
        <v>4</v>
      </c>
      <c r="I70" s="4">
        <v>0.11</v>
      </c>
      <c r="J70" s="4" t="s">
        <v>699</v>
      </c>
    </row>
    <row r="71" spans="1:10" ht="22.5" customHeight="1">
      <c r="A71" s="8"/>
      <c r="B71" s="9" t="s">
        <v>373</v>
      </c>
      <c r="C71" s="10" t="s">
        <v>156</v>
      </c>
      <c r="D71" s="7" t="s">
        <v>100</v>
      </c>
      <c r="E71" s="7"/>
      <c r="F71" s="7"/>
      <c r="G71" s="17" t="s">
        <v>9</v>
      </c>
      <c r="H71" s="16">
        <f>ВОР!D186+ВОР!D199+ВОР!D208+ВОР!D219+ВОР!D235</f>
        <v>21</v>
      </c>
      <c r="I71" s="4">
        <v>0.1</v>
      </c>
      <c r="J71" s="4" t="s">
        <v>699</v>
      </c>
    </row>
    <row r="72" spans="1:10" ht="22.5" customHeight="1">
      <c r="A72" s="8"/>
      <c r="B72" s="9" t="s">
        <v>107</v>
      </c>
      <c r="C72" s="18" t="s">
        <v>181</v>
      </c>
      <c r="D72" s="7" t="s">
        <v>361</v>
      </c>
      <c r="E72" s="7"/>
      <c r="F72" s="7"/>
      <c r="G72" s="17" t="s">
        <v>9</v>
      </c>
      <c r="H72" s="16">
        <f>ВОР!D233</f>
        <v>26</v>
      </c>
      <c r="I72" s="4">
        <v>0.1</v>
      </c>
      <c r="J72" s="4" t="s">
        <v>699</v>
      </c>
    </row>
    <row r="73" spans="1:10" ht="22.5" customHeight="1">
      <c r="A73" s="8"/>
      <c r="B73" s="9" t="s">
        <v>110</v>
      </c>
      <c r="C73" s="18" t="s">
        <v>367</v>
      </c>
      <c r="D73" s="7" t="s">
        <v>366</v>
      </c>
      <c r="E73" s="7"/>
      <c r="F73" s="7"/>
      <c r="G73" s="17" t="s">
        <v>9</v>
      </c>
      <c r="H73" s="16">
        <f>ВОР!D238</f>
        <v>8</v>
      </c>
      <c r="I73" s="4">
        <v>0.19</v>
      </c>
      <c r="J73" s="4" t="s">
        <v>699</v>
      </c>
    </row>
    <row r="74" spans="1:10" ht="22.5" customHeight="1">
      <c r="A74" s="8"/>
      <c r="B74" s="9" t="s">
        <v>113</v>
      </c>
      <c r="C74" s="18" t="s">
        <v>158</v>
      </c>
      <c r="D74" s="7" t="s">
        <v>362</v>
      </c>
      <c r="E74" s="7"/>
      <c r="F74" s="7"/>
      <c r="G74" s="17" t="s">
        <v>9</v>
      </c>
      <c r="H74" s="16">
        <f>ВОР!D187+ВОР!D200+ВОР!D209+ВОР!D220+ВОР!D234</f>
        <v>21</v>
      </c>
      <c r="I74" s="4">
        <v>0.13</v>
      </c>
      <c r="J74" s="4" t="s">
        <v>699</v>
      </c>
    </row>
    <row r="75" spans="1:10" ht="22.5" customHeight="1">
      <c r="A75" s="8"/>
      <c r="B75" s="9" t="s">
        <v>374</v>
      </c>
      <c r="C75" s="10" t="s">
        <v>172</v>
      </c>
      <c r="D75" s="7" t="s">
        <v>363</v>
      </c>
      <c r="E75" s="7"/>
      <c r="F75" s="7"/>
      <c r="G75" s="17" t="s">
        <v>9</v>
      </c>
      <c r="H75" s="16">
        <f>ВОР!D189+ВОР!D211</f>
        <v>5</v>
      </c>
      <c r="I75" s="4">
        <v>0.19</v>
      </c>
      <c r="J75" s="4" t="s">
        <v>699</v>
      </c>
    </row>
    <row r="76" spans="1:10" ht="22.5" customHeight="1">
      <c r="A76" s="8"/>
      <c r="B76" s="9" t="s">
        <v>115</v>
      </c>
      <c r="C76" s="19" t="s">
        <v>176</v>
      </c>
      <c r="D76" s="7" t="s">
        <v>364</v>
      </c>
      <c r="E76" s="7"/>
      <c r="F76" s="7"/>
      <c r="G76" s="17" t="s">
        <v>9</v>
      </c>
      <c r="H76" s="16">
        <f>ВОР!D212</f>
        <v>4</v>
      </c>
      <c r="I76" s="4">
        <v>8.0000000000000002E-3</v>
      </c>
      <c r="J76" s="4" t="s">
        <v>699</v>
      </c>
    </row>
    <row r="77" spans="1:10" ht="25.5" customHeight="1">
      <c r="A77" s="8"/>
      <c r="B77" s="9" t="s">
        <v>375</v>
      </c>
      <c r="C77" s="19" t="s">
        <v>160</v>
      </c>
      <c r="D77" s="7" t="s">
        <v>365</v>
      </c>
      <c r="E77" s="7"/>
      <c r="F77" s="7"/>
      <c r="G77" s="17" t="s">
        <v>9</v>
      </c>
      <c r="H77" s="16">
        <f>ВОР!D188+ВОР!D201+ВОР!D210+ВОР!D221</f>
        <v>14</v>
      </c>
      <c r="I77" s="4">
        <v>1.4999999999999999E-2</v>
      </c>
      <c r="J77" s="4" t="s">
        <v>699</v>
      </c>
    </row>
    <row r="78" spans="1:10" ht="22.5" customHeight="1">
      <c r="A78" s="8"/>
      <c r="B78" s="9" t="s">
        <v>376</v>
      </c>
      <c r="C78" s="10" t="s">
        <v>97</v>
      </c>
      <c r="D78" s="7" t="s">
        <v>98</v>
      </c>
      <c r="E78" s="7"/>
      <c r="F78" s="7"/>
      <c r="G78" s="17" t="s">
        <v>9</v>
      </c>
      <c r="H78" s="7">
        <f>ВОР!D190</f>
        <v>4</v>
      </c>
      <c r="I78" s="4">
        <v>0.2</v>
      </c>
      <c r="J78" s="4" t="s">
        <v>699</v>
      </c>
    </row>
    <row r="79" spans="1:10" ht="22.5" customHeight="1">
      <c r="A79" s="8"/>
      <c r="B79" s="9"/>
      <c r="C79" s="10"/>
      <c r="D79" s="7"/>
      <c r="E79" s="7"/>
      <c r="F79" s="7"/>
      <c r="G79" s="7"/>
      <c r="H79" s="7"/>
      <c r="I79" s="4"/>
      <c r="J79" s="4"/>
    </row>
    <row r="80" spans="1:10" ht="20.25" customHeight="1">
      <c r="A80" s="8"/>
      <c r="B80" s="9"/>
      <c r="C80" s="20" t="s">
        <v>377</v>
      </c>
      <c r="D80" s="20"/>
      <c r="E80" s="20"/>
      <c r="F80" s="20"/>
      <c r="G80" s="20"/>
      <c r="H80" s="20"/>
      <c r="I80" s="21"/>
      <c r="J80" s="4"/>
    </row>
    <row r="81" spans="1:10" ht="20.25" customHeight="1">
      <c r="A81" s="8"/>
      <c r="B81" s="9"/>
      <c r="C81" s="20"/>
      <c r="D81" s="20"/>
      <c r="E81" s="20"/>
      <c r="F81" s="20"/>
      <c r="G81" s="20"/>
      <c r="H81" s="20"/>
      <c r="I81" s="21"/>
      <c r="J81" s="4"/>
    </row>
    <row r="82" spans="1:10" ht="22.5" customHeight="1">
      <c r="A82" s="8"/>
      <c r="B82" s="9" t="s">
        <v>378</v>
      </c>
      <c r="C82" s="22" t="s">
        <v>118</v>
      </c>
      <c r="D82" s="20" t="s">
        <v>104</v>
      </c>
      <c r="E82" s="20"/>
      <c r="F82" s="20"/>
      <c r="G82" s="20" t="s">
        <v>7</v>
      </c>
      <c r="H82" s="23">
        <f>ВОР!D78</f>
        <v>210</v>
      </c>
      <c r="I82" s="4"/>
      <c r="J82" s="4" t="s">
        <v>699</v>
      </c>
    </row>
    <row r="83" spans="1:10" ht="22.5" customHeight="1">
      <c r="A83" s="8"/>
      <c r="B83" s="9" t="s">
        <v>379</v>
      </c>
      <c r="C83" s="10" t="s">
        <v>106</v>
      </c>
      <c r="D83" s="4"/>
      <c r="E83" s="4"/>
      <c r="F83" s="4"/>
      <c r="G83" s="4" t="s">
        <v>28</v>
      </c>
      <c r="H83" s="14">
        <f>ВОР!D80</f>
        <v>12</v>
      </c>
      <c r="I83" s="4"/>
      <c r="J83" s="4" t="s">
        <v>699</v>
      </c>
    </row>
    <row r="84" spans="1:10" ht="36.75" customHeight="1">
      <c r="A84" s="8"/>
      <c r="B84" s="9" t="s">
        <v>380</v>
      </c>
      <c r="C84" s="12" t="s">
        <v>108</v>
      </c>
      <c r="D84" s="4" t="s">
        <v>109</v>
      </c>
      <c r="E84" s="4"/>
      <c r="F84" s="4"/>
      <c r="G84" s="4" t="s">
        <v>8</v>
      </c>
      <c r="H84" s="15">
        <f>ВОР!D76</f>
        <v>62.720999999999989</v>
      </c>
      <c r="I84" s="15"/>
      <c r="J84" s="4" t="s">
        <v>699</v>
      </c>
    </row>
    <row r="85" spans="1:10" ht="22.5" customHeight="1">
      <c r="A85" s="8"/>
      <c r="B85" s="9" t="s">
        <v>381</v>
      </c>
      <c r="C85" s="10" t="s">
        <v>111</v>
      </c>
      <c r="D85" s="4" t="s">
        <v>112</v>
      </c>
      <c r="E85" s="4"/>
      <c r="F85" s="4"/>
      <c r="G85" s="4" t="s">
        <v>9</v>
      </c>
      <c r="H85" s="4">
        <f>ВОР!D77</f>
        <v>4694</v>
      </c>
      <c r="I85" s="4"/>
      <c r="J85" s="4" t="s">
        <v>699</v>
      </c>
    </row>
    <row r="86" spans="1:10" ht="22.5" customHeight="1">
      <c r="A86" s="8"/>
      <c r="B86" s="9" t="s">
        <v>382</v>
      </c>
      <c r="C86" s="13" t="s">
        <v>466</v>
      </c>
      <c r="D86" s="4"/>
      <c r="E86" s="4"/>
      <c r="F86" s="4"/>
      <c r="G86" s="4" t="s">
        <v>7</v>
      </c>
      <c r="H86" s="15">
        <f>ВОР!D149</f>
        <v>10</v>
      </c>
      <c r="I86" s="4"/>
      <c r="J86" s="4" t="s">
        <v>699</v>
      </c>
    </row>
    <row r="87" spans="1:10" ht="24.75" customHeight="1">
      <c r="A87" s="8"/>
      <c r="B87" s="9" t="s">
        <v>467</v>
      </c>
      <c r="C87" s="57" t="s">
        <v>469</v>
      </c>
      <c r="D87" s="51"/>
      <c r="E87" s="4"/>
      <c r="F87" s="4"/>
      <c r="G87" s="4" t="s">
        <v>9</v>
      </c>
      <c r="H87" s="14">
        <f>ВОР!D150</f>
        <v>20</v>
      </c>
      <c r="I87" s="4"/>
      <c r="J87" s="4" t="s">
        <v>699</v>
      </c>
    </row>
    <row r="88" spans="1:10" ht="27" customHeight="1">
      <c r="A88" s="8"/>
      <c r="B88" s="9" t="s">
        <v>468</v>
      </c>
      <c r="C88" s="57" t="s">
        <v>435</v>
      </c>
      <c r="D88" s="51"/>
      <c r="E88" s="4"/>
      <c r="F88" s="4"/>
      <c r="G88" s="4" t="s">
        <v>9</v>
      </c>
      <c r="H88" s="14">
        <f>ВОР!D151</f>
        <v>20</v>
      </c>
      <c r="I88" s="4"/>
      <c r="J88" s="4" t="s">
        <v>699</v>
      </c>
    </row>
  </sheetData>
  <mergeCells count="1">
    <mergeCell ref="B1:C1"/>
  </mergeCells>
  <phoneticPr fontId="3" type="noConversion"/>
  <conditionalFormatting sqref="C84:D84">
    <cfRule type="duplicateValues" dxfId="0" priority="1"/>
  </conditionalFormatting>
  <pageMargins left="0.78740157480314965" right="0.19685039370078741" top="0.19685039370078741" bottom="1.1811023622047245" header="0.31496062992125984" footer="0.31496062992125984"/>
  <pageSetup paperSize="8" orientation="landscape" horizontalDpi="1200" verticalDpi="1200" r:id="rId1"/>
  <rowBreaks count="2" manualBreakCount="2">
    <brk id="22" max="16383" man="1"/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ВОР</vt:lpstr>
      <vt:lpstr>Спецификация</vt:lpstr>
      <vt:lpstr>ВОР!Заголовки_для_печати</vt:lpstr>
      <vt:lpstr>Спецификация!Заголовки_для_печати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Sterh02</dc:creator>
  <cp:lastModifiedBy>Ignatiev Sergey</cp:lastModifiedBy>
  <cp:lastPrinted>2022-07-05T08:51:51Z</cp:lastPrinted>
  <dcterms:created xsi:type="dcterms:W3CDTF">2022-03-30T05:14:09Z</dcterms:created>
  <dcterms:modified xsi:type="dcterms:W3CDTF">2022-09-06T08:18:56Z</dcterms:modified>
</cp:coreProperties>
</file>